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seite" sheetId="1" state="visible" r:id="rId3"/>
    <sheet name="Eingabe" sheetId="2" state="visible" r:id="rId4"/>
    <sheet name="Änderungen" sheetId="3" state="visible" r:id="rId5"/>
    <sheet name="Grenzwerte" sheetId="4" state="hidden" r:id="rId6"/>
    <sheet name="REDIII" sheetId="5" state="hidden" r:id="rId7"/>
    <sheet name="Berechnung" sheetId="6" state="hidden" r:id="rId8"/>
    <sheet name="CI" sheetId="7" state="hidden" r:id="rId9"/>
    <sheet name="Liste" sheetId="8" state="hidden" r:id="rId10"/>
  </sheets>
  <definedNames>
    <definedName function="false" hidden="false" localSheetId="1" name="_xlnm.Print_Area" vbProcedure="false">Eingabe!$B$2:$J$71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9" authorId="0">
      <text>
        <r>
          <rPr>
            <sz val="10"/>
            <rFont val="Arial"/>
            <family val="2"/>
          </rPr>
          <t xml:space="preserve">Vorgabe: 8.000 t FM/a Gülle (Beispielmischung 80/20, entspricht Anhang VI Teil D). Durch Projektdaten ersetzen.</t>
        </r>
      </text>
    </comment>
    <comment ref="E10" authorId="0">
      <text>
        <r>
          <rPr>
            <sz val="10"/>
            <rFont val="Arial"/>
            <family val="2"/>
          </rPr>
          <t xml:space="preserve">Vorgabe: 2.000 t FM/a Mais (Beispielmischung 80/20). Durch Projektdaten ersetzen.</t>
        </r>
      </text>
    </comment>
    <comment ref="E11" authorId="0">
      <text>
        <r>
          <rPr>
            <sz val="10"/>
            <rFont val="Arial"/>
            <family val="2"/>
          </rPr>
          <t xml:space="preserve">Vorgabe: 0 t FM/a Bioabfall.</t>
        </r>
      </text>
    </comment>
    <comment ref="E18" authorId="0">
      <text>
        <r>
          <rPr>
            <sz val="10"/>
            <rFont val="Arial"/>
            <family val="2"/>
          </rPr>
          <t xml:space="preserve">Vorgabe: Geschlossen (Stand der Technik bei Neuanlagen).</t>
        </r>
      </text>
    </comment>
    <comment ref="E19" authorId="0">
      <text>
        <r>
          <rPr>
            <sz val="10"/>
            <rFont val="Arial"/>
            <family val="2"/>
          </rPr>
          <t xml:space="preserve">Vorgabe: Ja (Aufbereitung ohne Methanschlupf im Abgas).</t>
        </r>
      </text>
    </comment>
    <comment ref="E20" authorId="0">
      <text>
        <r>
          <rPr>
            <sz val="10"/>
            <rFont val="Arial"/>
            <family val="2"/>
          </rPr>
          <t xml:space="preserve">Vorgabe: Standardwert (für den Nachweis nach Art. 31 Abs. 1 lit. a maßgeblich).</t>
        </r>
      </text>
    </comment>
    <comment ref="E21" authorId="0">
      <text>
        <r>
          <rPr>
            <sz val="10"/>
            <rFont val="Arial"/>
            <family val="2"/>
          </rPr>
          <t xml:space="preserve">Vorgabe: Ja (keine Landnutzungsänderung).</t>
        </r>
      </text>
    </comment>
    <comment ref="E26" authorId="0">
      <text>
        <r>
          <rPr>
            <sz val="10"/>
            <rFont val="Arial"/>
            <family val="2"/>
          </rPr>
          <t xml:space="preserve">Vorgabe: Kraft-Wärme-Kopplung (Strom und Wärme).</t>
        </r>
      </text>
    </comment>
    <comment ref="E27" authorId="0">
      <text>
        <r>
          <rPr>
            <sz val="10"/>
            <rFont val="Arial"/>
            <family val="2"/>
          </rPr>
          <t xml:space="preserve">Vorgabe: 40 % – Annahme für einen Biogas-/Biomethan-Gasmotor. Durch Anlagendaten ersetzen.</t>
        </r>
      </text>
    </comment>
    <comment ref="E28" authorId="0">
      <text>
        <r>
          <rPr>
            <sz val="10"/>
            <rFont val="Arial"/>
            <family val="2"/>
          </rPr>
          <t xml:space="preserve">Vorgabe: 45 % – Annahme für die genutzte Wärme eines Gasmotor-BHKW. Nur tatsächlich genutzte Nutzwärme ansetzen.</t>
        </r>
      </text>
    </comment>
    <comment ref="E29" authorId="0">
      <text>
        <r>
          <rPr>
            <sz val="10"/>
            <rFont val="Arial"/>
            <family val="2"/>
          </rPr>
          <t xml:space="preserve">Vorgabe: 90 % – Annahme für einen Gaskessel. Durch Anlagendaten ersetzen.</t>
        </r>
      </text>
    </comment>
    <comment ref="E30" authorId="0">
      <text>
        <r>
          <rPr>
            <sz val="10"/>
            <rFont val="Arial"/>
            <family val="2"/>
          </rPr>
          <t xml:space="preserve">Vorgabe: 90 °C – Annahme Nah-/Fernwärmevorlauf.</t>
        </r>
      </text>
    </comment>
    <comment ref="E31" authorId="0">
      <text>
        <r>
          <rPr>
            <sz val="10"/>
            <rFont val="Arial"/>
            <family val="2"/>
          </rPr>
          <t xml:space="preserve">Vorgabe: Nein (Carnot-Faktor aus der Temperatur).</t>
        </r>
      </text>
    </comment>
    <comment ref="E32" authorId="0">
      <text>
        <r>
          <rPr>
            <sz val="10"/>
            <rFont val="Arial"/>
            <family val="2"/>
          </rPr>
          <t xml:space="preserve">Vorgabe: Nein (Komparator 80 g CO2-Äq/MJ).</t>
        </r>
      </text>
    </comment>
    <comment ref="E36" authorId="0">
      <text>
        <r>
          <rPr>
            <sz val="10"/>
            <rFont val="Arial"/>
            <family val="2"/>
          </rPr>
          <t xml:space="preserve">Vorgabe: 01.03.2024 (Beispiel). Durch tatsächliches Datum ersetzen.</t>
        </r>
      </text>
    </comment>
    <comment ref="E37" authorId="0">
      <text>
        <r>
          <rPr>
            <sz val="10"/>
            <rFont val="Arial"/>
            <family val="2"/>
          </rPr>
          <t xml:space="preserve">Vorgabe: 5 MW – Annahme. Durch Anlagendaten ersetzen.</t>
        </r>
      </text>
    </comment>
    <comment ref="E38" authorId="0">
      <text>
        <r>
          <rPr>
            <sz val="10"/>
            <rFont val="Arial"/>
            <family val="2"/>
          </rPr>
          <t xml:space="preserve">Vorgabe: 250 m³/h CH4-Äq – Annahme. Durch Anlagendaten ersetzen.</t>
        </r>
      </text>
    </comment>
    <comment ref="E39" authorId="0">
      <text>
        <r>
          <rPr>
            <sz val="10"/>
            <rFont val="Arial"/>
            <family val="2"/>
          </rPr>
          <t xml:space="preserve">Vorgabe: heutiges Datum (=HEUTE()).</t>
        </r>
      </text>
    </comment>
    <comment ref="F9" authorId="0">
      <text>
        <r>
          <rPr>
            <sz val="10"/>
            <rFont val="Arial"/>
            <family val="2"/>
          </rPr>
          <t xml:space="preserve">Vorgabe: Standardfeuchte 90 % (Anhang VI Teil B Nr. 1 lit. b).</t>
        </r>
      </text>
    </comment>
    <comment ref="F10" authorId="0">
      <text>
        <r>
          <rPr>
            <sz val="10"/>
            <rFont val="Arial"/>
            <family val="2"/>
          </rPr>
          <t xml:space="preserve">Vorgabe: Standardfeuchte 65 % (Anhang VI Teil B Nr. 1 lit. b).</t>
        </r>
      </text>
    </comment>
    <comment ref="F11" authorId="0">
      <text>
        <r>
          <rPr>
            <sz val="10"/>
            <rFont val="Arial"/>
            <family val="2"/>
          </rPr>
          <t xml:space="preserve">Vorgabe: Standardfeuchte 76 % (Anhang VI Teil B Nr. 1 lit. b).</t>
        </r>
      </text>
    </comment>
  </commentList>
</comments>
</file>

<file path=xl/sharedStrings.xml><?xml version="1.0" encoding="utf-8"?>
<sst xmlns="http://schemas.openxmlformats.org/spreadsheetml/2006/main" count="342" uniqueCount="254">
  <si>
    <t xml:space="preserve">TOBI - Tool zur Berechnung der Treibhausgasemissionen von Biomethan</t>
  </si>
  <si>
    <t xml:space="preserve">Version 2.0 – 10/2026 (Erstfassung 03/2024)</t>
  </si>
  <si>
    <t xml:space="preserve">Erstellt durch die Servicestelle Erneuerbare Gase (SEG)</t>
  </si>
  <si>
    <t xml:space="preserve">Kurzbeschreibung des Tools</t>
  </si>
  <si>
    <t xml:space="preserve">TOBI nutzt die Methodik der Erneuerbare-Energien-Richtlinie der Europäischen Union (RL (EU) 2018/2001 i.d.F. RL (EU) 2023/2413, „RED III“), um die Treibhausgasemissionen (CO2-Äquivalente) von Biomethan aus Gülle, Mais und Bioabfall auf Basis der Standardwerte nach Anhang VI zu berechnen und mit den Mindesteinsparungen nach Art. 29 Abs. 10 abzugleichen. Das Tool richtet sich an Investor:innen, Projektplaner:innen und Entscheidungsträger:innen in der Biogasbranche.</t>
  </si>
  <si>
    <t xml:space="preserve">Anwendungsbereich</t>
  </si>
  <si>
    <t xml:space="preserve">Die Grenzwerte nach der Erneuerbaren Energie Richtlinie (EU 2018/2001) (RED III) gelten für gasförmige Biomasse-Brennstoffe (z.B. Biomethan) wenn sie in Anlagen zur Erzeugung von Elektrizität, Wärme und Kälte mit einer Gesamtfeuerungswärmeleistung von 2 MW oder mehr verwendet werden, sowie für Anlagen zur Erzeugung von gasförmiger Biomasse-Brennstoffe mit einer durchschnittlichen Durchflussrate von mehr als 200 m³/h Methan-Äquivalent (bei 0°C und 1 bar)
</t>
  </si>
  <si>
    <t xml:space="preserve">Rückfragen</t>
  </si>
  <si>
    <t xml:space="preserve">Servicestelle Erneuerbare Gase</t>
  </si>
  <si>
    <t xml:space="preserve">Mariahilfer Straße 136 | 1150 Wien | Österreich</t>
  </si>
  <si>
    <t xml:space="preserve">T. +43 (0)1 285 02 34</t>
  </si>
  <si>
    <t xml:space="preserve">service@erneuerbaresgas.at</t>
  </si>
  <si>
    <t xml:space="preserve">Version 2.0 (10/2026) – Grundlage: RL (EU) 2018/2001 i.d.F. RL (EU) 2023/2413 (RED III), Art. 29 Abs. 10, Art. 31, Anhang VI</t>
  </si>
  <si>
    <t xml:space="preserve">Daten Eingabe</t>
  </si>
  <si>
    <t xml:space="preserve">Eingabe</t>
  </si>
  <si>
    <t xml:space="preserve">nicht erforderlich</t>
  </si>
  <si>
    <t xml:space="preserve">berechnet</t>
  </si>
  <si>
    <t xml:space="preserve">Alle Felder sind vorbelegt (Annahmen siehe Zellkommentar) – durch Projektdaten ersetzen.</t>
  </si>
  <si>
    <t xml:space="preserve">Abschnitt 1: Substrate (Co-Vergärung)</t>
  </si>
  <si>
    <t xml:space="preserve">Substrat</t>
  </si>
  <si>
    <t xml:space="preserve">Input [t Frischmasse/a] oder Anteil [% der Frischmasse]</t>
  </si>
  <si>
    <t xml:space="preserve">Ø Feuchte AM_n [%] (Vorgabe = Standardfeuchte)</t>
  </si>
  <si>
    <t xml:space="preserve">Standardfeuchte SM_n [%]</t>
  </si>
  <si>
    <t xml:space="preserve">Energieanteil S_n</t>
  </si>
  <si>
    <t xml:space="preserve">Standard-/typischer Wert E_n [g CO2-Äq/MJ]</t>
  </si>
  <si>
    <t xml:space="preserve">Mist/Gülle</t>
  </si>
  <si>
    <t xml:space="preserve">Mais (gesamte Pflanze)</t>
  </si>
  <si>
    <t xml:space="preserve">Bioabfall</t>
  </si>
  <si>
    <t xml:space="preserve">Summe</t>
  </si>
  <si>
    <t xml:space="preserve">Mengen werden automatisch normiert (t/a oder % sind gleichwertig). Die Gewichtung erfolgt nach Energieanteil gemäß Anhang VI Teil B Nr. 1 lit. b (S_n = P_n·W_n / Σ P_n·W_n), nicht nach Masse. Die Feuchte ist mit der Standardfeuchte vorbelegt; bei Abweichung tatsächlichen Jahresmittelwert eintragen (leer = Standardfeuchte). Für andere Substrate enthält Anhang VI keine Standardwerte – dafür ist eine Berechnung mit tatsächlichen Werten (Art. 31 Abs. 1 lit. b) erforderlich.</t>
  </si>
  <si>
    <t xml:space="preserve">Abschnitt 2: Technische Spezifikationen und Wertansatz</t>
  </si>
  <si>
    <t xml:space="preserve">Art des Gärrückstandslagers</t>
  </si>
  <si>
    <t xml:space="preserve">Geschlossen</t>
  </si>
  <si>
    <t xml:space="preserve">Abgasverbrennung „Nein“ = Aufbereitung mit 0,03 MJ CH4/MJ Biomethan im Abgas (Fußnote 1 Anhang VI Teil A). Für den Nachweis nach Art. 31 Abs. 1 lit. a ist der Standardwert maßgeblich; der typische Wert dient nur zur Orientierung. Standardwerte dürfen nur verwendet werden, wenn e_l ≤ 0 ist.</t>
  </si>
  <si>
    <t xml:space="preserve">Abgasverbrennung bei der Biogasaufbereitung (kein Methanschlupf im Abgas)?</t>
  </si>
  <si>
    <t xml:space="preserve">Ja</t>
  </si>
  <si>
    <t xml:space="preserve">Wertansatz</t>
  </si>
  <si>
    <t xml:space="preserve">Standardwert</t>
  </si>
  <si>
    <t xml:space="preserve">Anbau ohne Landnutzungsänderung, d. h. e_l ≤ 0 (Art. 31 Abs. 1 lit. a)?</t>
  </si>
  <si>
    <t xml:space="preserve">Abschnitt 3: Verwendung des Biomethans</t>
  </si>
  <si>
    <t xml:space="preserve">Verwendungszweck</t>
  </si>
  <si>
    <t xml:space="preserve">Kraft-Wärme-Kopplung (Strom und Wärme)</t>
  </si>
  <si>
    <t xml:space="preserve">Elektrischer Wirkungsgrad η_el [%] (Strom, KWK)</t>
  </si>
  <si>
    <t xml:space="preserve">η = jährlich erzeugte Elektrizität bzw. Nutzwärme / jährlich eingesetzter Brennstoff (Energiegehalt). KWK: Allokation nach Exergie (C_el = 1, C_h = (T_h − T_0)/T_h). Kompressionszuschlag wird nur im Verkehr angerechnet.</t>
  </si>
  <si>
    <t xml:space="preserve">Thermischer Wirkungsgrad η_h KWK [%] – nur genutzte Wärme (KWK)</t>
  </si>
  <si>
    <t xml:space="preserve">Thermischer Wirkungsgrad η_h Wärmeerzeuger [%] (Wärme ohne Strom)</t>
  </si>
  <si>
    <t xml:space="preserve">Temperatur der Nutzwärme am Lieferort [°C] (KWK)</t>
  </si>
  <si>
    <t xml:space="preserve">Wärme zur Gebäudebeheizung &lt; 150 °C – C_h = 0,3546 ansetzen? (KWK)</t>
  </si>
  <si>
    <t xml:space="preserve">Nein</t>
  </si>
  <si>
    <t xml:space="preserve">Direkte physische Substitution von Kohle nachgewiesen? (Wärme, KWK)</t>
  </si>
  <si>
    <t xml:space="preserve">Abschnitt 4: Anlage und Prüfstichtag (für Art. 29 Abs. 10)</t>
  </si>
  <si>
    <t xml:space="preserve">Datum der Inbetriebnahme der Anlage</t>
  </si>
  <si>
    <t xml:space="preserve">Verkehr (lit. a–c): maßgeblich ist die Betriebsaufnahme der Biomethan-Produktionsanlage. Strom/Wärme/Kälte (lit. d–h): maßgeblich ist die Inbetriebnahme der Nutzungsanlage; die Mindesteinsparung hängt zusätzlich von Leistung, Betriebsdauer (15 Jahre) und Stichtag ab.</t>
  </si>
  <si>
    <t xml:space="preserve">Gesamtfeuerungswärmeleistung der Strom-/Wärmeanlage [MW] (Strom, Wärme, KWK)</t>
  </si>
  <si>
    <t xml:space="preserve">Ø Biomethan-Durchflussrate der Produktionsanlage [m³/h CH4-Äq, 0 °C, 1 bar]</t>
  </si>
  <si>
    <t xml:space="preserve">Prüfstichtag</t>
  </si>
  <si>
    <t xml:space="preserve">Abschnitt 5: Ergebnisse</t>
  </si>
  <si>
    <t xml:space="preserve">THG-Emissionen des Biomethans vor der Endumwandlung E [g CO2-Äq/MJ Biomethan]</t>
  </si>
  <si>
    <t xml:space="preserve">Endenergieprodukt</t>
  </si>
  <si>
    <t xml:space="preserve">THG-Emissionen [g CO2-Äq/MJ]</t>
  </si>
  <si>
    <t xml:space="preserve">Fossiler Komparator [g CO2-Äq/MJ]</t>
  </si>
  <si>
    <t xml:space="preserve">THG-Einsparung</t>
  </si>
  <si>
    <t xml:space="preserve">Mindesteinsparung zum Stichtag</t>
  </si>
  <si>
    <t xml:space="preserve">Ergebnis</t>
  </si>
  <si>
    <t xml:space="preserve">Kraftstoff Verkehr (komprimiertes Biomethan)</t>
  </si>
  <si>
    <t xml:space="preserve">Elektrizität</t>
  </si>
  <si>
    <t xml:space="preserve">Nutzwärme / Kälte</t>
  </si>
  <si>
    <t xml:space="preserve">Maßgebliche Bestimmung</t>
  </si>
  <si>
    <t xml:space="preserve">Anwendungsbereich (Art. 29 Abs. 1 UAbs. 4)</t>
  </si>
  <si>
    <t xml:space="preserve">Hinweise zu den Eingaben</t>
  </si>
  <si>
    <t xml:space="preserve">Die Berechnung bildet ausschließlich die Standardwege nach Anhang VI Teil D (Gülle, Mais, Bioabfall) inkl. Co-Vergärungsformel ab. Tatsächliche Werte (Art. 31 Abs. 1 lit. b–d) sind damit nicht berechenbar. Ergebnis ohne Gewähr; Rechtsgrundlage: Richtlinie (EU) 2018/2001 in der konsolidierten Fassung vom 16.07.2024.</t>
  </si>
  <si>
    <t xml:space="preserve">https://eur-lex.europa.eu/legal-content/DE/TXT/?uri=CELEX:02018L2001-20240716</t>
  </si>
  <si>
    <t xml:space="preserve">Änderungsprotokoll Version 2.0 (10/2026)</t>
  </si>
  <si>
    <t xml:space="preserve">Nr.</t>
  </si>
  <si>
    <t xml:space="preserve">Bereich</t>
  </si>
  <si>
    <t xml:space="preserve">Fehler / Änderung in Version 1 (03/2024)</t>
  </si>
  <si>
    <t xml:space="preserve">Korrektur</t>
  </si>
  <si>
    <t xml:space="preserve">Rechtsgrundlage</t>
  </si>
  <si>
    <t xml:space="preserve">REDIII</t>
  </si>
  <si>
    <t xml:space="preserve">Standardwert Gülle, geschlossenes Lager mit Abgasverbrennung als Text „– 100“ hinterlegt → jede Berechnung mit „Geschlossen“ + „Ja“ ergab #WERT!, auch ohne Gülle.</t>
  </si>
  <si>
    <t xml:space="preserve">Als Zahl −100 hinterlegt.</t>
  </si>
  <si>
    <t xml:space="preserve">Anhang VI Teil D</t>
  </si>
  <si>
    <t xml:space="preserve">Co-Vergärung</t>
  </si>
  <si>
    <t xml:space="preserve">Mischung nach Frischmasse- bzw. Prozentanteilen gewichtet. Beispiel 80 % Gülle/20 % Mais, offen, keine Abgasverbrennung: 32,2 statt 57 g CO2-Äq/MJ.</t>
  </si>
  <si>
    <t xml:space="preserve">Gewichtung nach Energieanteil S_n = P_n·W_n/Σ P_n·W_n mit P_n und Standardfeuchte SM_n; optionale tatsächliche Feuchte AM_n.</t>
  </si>
  <si>
    <t xml:space="preserve">Anhang VI Teil B Nr. 1 lit. b</t>
  </si>
  <si>
    <t xml:space="preserve">Kompression</t>
  </si>
  <si>
    <t xml:space="preserve">Zuschlag 3,3 g/MJ zum Standardwert, unabhängig von der Verwendung.</t>
  </si>
  <si>
    <t xml:space="preserve">Standardwert +4,6, typischer Wert +3,3 g/MJ; nur bei Verwendung als komprimiertes Biomethan im Verkehr.</t>
  </si>
  <si>
    <t xml:space="preserve">Anhang VI Teil D, Schlussabsatz</t>
  </si>
  <si>
    <t xml:space="preserve">Strom/Wärme</t>
  </si>
  <si>
    <t xml:space="preserve">Emissionen je MJ Biomethan direkt mit Komparator je MJ Strom (183) bzw. Wärme (80) verglichen.</t>
  </si>
  <si>
    <t xml:space="preserve">Umrechnung auf Endenergie über η_el bzw. η_h; bei KWK Allokation nach Exergie (Carnot-Faktor).</t>
  </si>
  <si>
    <t xml:space="preserve">Anhang VI Teil B Nr. 1 lit. d, Nr. 3 lit. b</t>
  </si>
  <si>
    <t xml:space="preserve">Grenzwerte</t>
  </si>
  <si>
    <t xml:space="preserve">Mindesteinsparungen Strom/Wärme nach RED II (70 % 2021–2025, 80 % ab 2026).</t>
  </si>
  <si>
    <t xml:space="preserve">Lit. d–h nach RED III: Stichtag 20.11.2023, 10-MW-Grenze, 15-Jahres-Regel, Übergangsfristen bis 31.12.2029, Prüfstichtag.</t>
  </si>
  <si>
    <t xml:space="preserve">Art. 29 Abs. 10 i.d.F. RL (EU) 2023/2413</t>
  </si>
  <si>
    <t xml:space="preserve">Vergleich Zahl &lt; „-“ (Spalte „vor 2021“) liefert in Excel immer WAHR → „eingehalten“.</t>
  </si>
  <si>
    <t xml:space="preserve">Ausgabe „keine Mindesteinsparung zum Stichtag“ bzw. 80 % nach Ablauf der Übergangsfrist.</t>
  </si>
  <si>
    <t xml:space="preserve">Art. 29 Abs. 10 lit. g, h</t>
  </si>
  <si>
    <t xml:space="preserve">Vergleich</t>
  </si>
  <si>
    <t xml:space="preserve">Strenger Vergleich „&lt;“: Ergebnis genau auf dem Grenzwert galt als nicht eingehalten.</t>
  </si>
  <si>
    <t xml:space="preserve">Vergleich der Einsparung „≥“ Mindesteinsparung („mindestens“).</t>
  </si>
  <si>
    <t xml:space="preserve">Art. 29 Abs. 10</t>
  </si>
  <si>
    <t xml:space="preserve">Überschrift „nach 20.11.2026“ (Tippfehler), Mais als „Reststoff“ bezeichnet, Einheit „Gramm CO2/MJ“.</t>
  </si>
  <si>
    <t xml:space="preserve">Korrigiert: Substrate, g CO2-Äq/MJ, Datum 20.11.2023.</t>
  </si>
  <si>
    <t xml:space="preserve">—</t>
  </si>
  <si>
    <t xml:space="preserve">Gemischte Einheiten je Zeile (kg/Prozent) möglich; Prozentsumme ≠ 100 % wurde nicht erkannt.</t>
  </si>
  <si>
    <t xml:space="preserve">Eine Mengenspalte, automatisch normiert.</t>
  </si>
  <si>
    <t xml:space="preserve">Neu</t>
  </si>
  <si>
    <t xml:space="preserve">Wertansatz (Standard/typisch), Prüfung e_l ≤ 0, Komparator 124 bei Kohlesubstitution, Anwendungsbereich (2 MW / 200 m³/h), Hinweiszeilen.</t>
  </si>
  <si>
    <t xml:space="preserve">Art. 29 Abs. 1, Art. 31 Abs. 1, Anhang VI Teil B Nr. 19</t>
  </si>
  <si>
    <t xml:space="preserve">Fossile Komparatoren und Mindest-THG-Einsparungen</t>
  </si>
  <si>
    <t xml:space="preserve">Fossile Komparatoren (Anhang VI Teil B Nr. 19)</t>
  </si>
  <si>
    <t xml:space="preserve">Kraftstoff Verkehr EF(t)</t>
  </si>
  <si>
    <t xml:space="preserve">g CO2-Äq/MJ</t>
  </si>
  <si>
    <t xml:space="preserve">Elektrizität ECF(el)</t>
  </si>
  <si>
    <t xml:space="preserve">Nutzwärme / Kälte ECF(h)</t>
  </si>
  <si>
    <t xml:space="preserve">Nutzwärme bei nachgewiesener direkter Substitution von Kohle ECF(h)</t>
  </si>
  <si>
    <t xml:space="preserve">Mindesteinsparungen Art. 29 Abs. 10 (i.d.F. RL (EU) 2023/2413)</t>
  </si>
  <si>
    <t xml:space="preserve">lit.</t>
  </si>
  <si>
    <t xml:space="preserve">Anwendungsfall</t>
  </si>
  <si>
    <t xml:space="preserve">Mindesteinsparung</t>
  </si>
  <si>
    <t xml:space="preserve">Bedingung</t>
  </si>
  <si>
    <t xml:space="preserve">a</t>
  </si>
  <si>
    <t xml:space="preserve">Verkehr: Anlage am 5.10.2015 oder davor in Betrieb</t>
  </si>
  <si>
    <t xml:space="preserve">b</t>
  </si>
  <si>
    <t xml:space="preserve">Verkehr: Betriebsaufnahme 6.10.2015 bis 31.12.2020</t>
  </si>
  <si>
    <t xml:space="preserve">c</t>
  </si>
  <si>
    <t xml:space="preserve">Verkehr: Betriebsaufnahme ab 1.1.2021</t>
  </si>
  <si>
    <t xml:space="preserve">d</t>
  </si>
  <si>
    <t xml:space="preserve">Strom/Wärme/Kälte: Inbetriebnahme nach dem 20.11.2023</t>
  </si>
  <si>
    <t xml:space="preserve">e</t>
  </si>
  <si>
    <t xml:space="preserve">Strom/Wärme/Kälte, ≥ 10 MW, Inbetriebnahme 1.1.2021 bis 20.11.2023</t>
  </si>
  <si>
    <t xml:space="preserve">bis 31.12.2029; ab 1.1.2030: 80 %</t>
  </si>
  <si>
    <t xml:space="preserve">f</t>
  </si>
  <si>
    <t xml:space="preserve">Strom/Wärme/Kälte, ≤ 10 MW, gasförmig, Inbetriebnahme 1.1.2021 bis 20.11.2023</t>
  </si>
  <si>
    <t xml:space="preserve">bis 15 Betriebsjahre; danach 80 %</t>
  </si>
  <si>
    <t xml:space="preserve">g</t>
  </si>
  <si>
    <t xml:space="preserve">Strom/Wärme/Kälte, ≥ 10 MW, Inbetriebnahme vor 1.1.2021</t>
  </si>
  <si>
    <t xml:space="preserve">nach 15 Betriebsjahren, frühestens 1.1.2026, spätestens 31.12.2029</t>
  </si>
  <si>
    <t xml:space="preserve">h</t>
  </si>
  <si>
    <t xml:space="preserve">Strom/Wärme/Kälte, ≤ 10 MW, gasförmig, Inbetriebnahme vor 1.1.2021</t>
  </si>
  <si>
    <t xml:space="preserve">nach 15 Betriebsjahren, frühestens 1.1.2026</t>
  </si>
  <si>
    <t xml:space="preserve">Ersatzwerte nach Ablauf der Übergangsfrist (lit. e–h)</t>
  </si>
  <si>
    <t xml:space="preserve">Stichtage</t>
  </si>
  <si>
    <t xml:space="preserve">Ende lit. a</t>
  </si>
  <si>
    <t xml:space="preserve">Ende lit. b</t>
  </si>
  <si>
    <t xml:space="preserve">Beginn lit. e/f</t>
  </si>
  <si>
    <t xml:space="preserve">Ende lit. e/f, danach lit. d</t>
  </si>
  <si>
    <t xml:space="preserve">Ende Übergang lit. e</t>
  </si>
  <si>
    <t xml:space="preserve">frühester Beginn lit. g/h</t>
  </si>
  <si>
    <t xml:space="preserve">spätester Beginn lit. g</t>
  </si>
  <si>
    <t xml:space="preserve">Leistungsgrenzen</t>
  </si>
  <si>
    <t xml:space="preserve">Schwelle Anwendungsbereich gasförmige Biomasse-Brennstoffe (Art. 29 Abs. 1 UAbs. 4 lit. b) [MW]</t>
  </si>
  <si>
    <t xml:space="preserve">Grenze lit. e/g vs. f/h [MW]</t>
  </si>
  <si>
    <t xml:space="preserve">Schwelle Biomethan-Produktionsanlagen (lit. c) [m³/h CH4-Äq]</t>
  </si>
  <si>
    <t xml:space="preserve">Werte aus Anhang VI RL (EU) 2018/2001 (konsolidierte Fassung 16.07.2024)</t>
  </si>
  <si>
    <t xml:space="preserve">Quelle: Anhang VI Teil D „Typische Werte und Standardwerte für Biomethan“; Teil B Nr. 1 lit. b (P_n, SM_n); Teil D Schlussabsatz (Kompression).</t>
  </si>
  <si>
    <t xml:space="preserve">Biomethanproduktionssystem</t>
  </si>
  <si>
    <t xml:space="preserve">Technologische Optionen</t>
  </si>
  <si>
    <t xml:space="preserve">Gärrückstandslager</t>
  </si>
  <si>
    <t xml:space="preserve">Abgasverbrennung</t>
  </si>
  <si>
    <t xml:space="preserve">THG-Emissionen typischer Wert [g CO2-Äq/MJ]</t>
  </si>
  <si>
    <t xml:space="preserve">THG-Emissionen Standardwert [g CO2-Äq/MJ]</t>
  </si>
  <si>
    <t xml:space="preserve">Abfrageschlüssel</t>
  </si>
  <si>
    <t xml:space="preserve">Biomethan aus Gülle</t>
  </si>
  <si>
    <t xml:space="preserve">Offenes Gärrückstandslager, keine Abgasverbrennung</t>
  </si>
  <si>
    <t xml:space="preserve">Gülle</t>
  </si>
  <si>
    <t xml:space="preserve">Offen</t>
  </si>
  <si>
    <t xml:space="preserve">Offenes Gärrückstandslager, Abgasverbrennung</t>
  </si>
  <si>
    <t xml:space="preserve">Geschlossenes Gärrückstandslager, keine Abgasverbrennung</t>
  </si>
  <si>
    <t xml:space="preserve">Geschlossenes Gärrückstandslager, Abgasverbrennung</t>
  </si>
  <si>
    <t xml:space="preserve">Biomethan aus Mais (gesamte Pflanze)</t>
  </si>
  <si>
    <t xml:space="preserve">Mais</t>
  </si>
  <si>
    <t xml:space="preserve">Biomethan aus Bioabfall</t>
  </si>
  <si>
    <t xml:space="preserve">Parameter Co-Vergärung (Anhang VI Teil B Nr. 1 lit. b)</t>
  </si>
  <si>
    <t xml:space="preserve">P_n [MJ Biogas/kg Frischmasse]</t>
  </si>
  <si>
    <t xml:space="preserve">SM_n Standardfeuchte [kg Wasser/kg FM]</t>
  </si>
  <si>
    <t xml:space="preserve">Zuschlag Kompression an der Tankstelle (nur bei Verwendung als komprimiertes Biomethan im Verkehr)</t>
  </si>
  <si>
    <t xml:space="preserve">typischer Wert [g CO2-Äq/MJ]</t>
  </si>
  <si>
    <t xml:space="preserve">Standardwert [g CO2-Äq/MJ]</t>
  </si>
  <si>
    <t xml:space="preserve">Exergie (Anhang VI Teil B Nr. 1 lit. d)</t>
  </si>
  <si>
    <t xml:space="preserve">C_el (Exergieanteil Elektrizität)</t>
  </si>
  <si>
    <t xml:space="preserve">C_h bei Gebäudebeheizung &lt; 150 °C (alternativ zulässig)</t>
  </si>
  <si>
    <t xml:space="preserve">T_0 Umgebungstemperatur [K]</t>
  </si>
  <si>
    <t xml:space="preserve">Berechnung (nachvollziehbare Zwischenschritte)</t>
  </si>
  <si>
    <t xml:space="preserve">Schlüssel</t>
  </si>
  <si>
    <t xml:space="preserve">E_n [g/MJ]</t>
  </si>
  <si>
    <t xml:space="preserve">I_n</t>
  </si>
  <si>
    <t xml:space="preserve">AM_n</t>
  </si>
  <si>
    <t xml:space="preserve">SM_n</t>
  </si>
  <si>
    <t xml:space="preserve">P_n</t>
  </si>
  <si>
    <t xml:space="preserve">W_n</t>
  </si>
  <si>
    <t xml:space="preserve">P_n·W_n</t>
  </si>
  <si>
    <t xml:space="preserve">S_n</t>
  </si>
  <si>
    <t xml:space="preserve">S_n·E_n</t>
  </si>
  <si>
    <t xml:space="preserve">Σ I_n (Input Frischmasse, normiert)</t>
  </si>
  <si>
    <t xml:space="preserve">Σ P_n·W_n</t>
  </si>
  <si>
    <t xml:space="preserve">E Co-Vergärung = Σ S_n·E_n [g CO2-Äq/MJ Biomethan]</t>
  </si>
  <si>
    <t xml:space="preserve">Zuschlag Kompression (nur Verkehr) [g CO2-Äq/MJ]</t>
  </si>
  <si>
    <t xml:space="preserve">E gesamt vor Endumwandlung [g CO2-Äq/MJ Biomethan]</t>
  </si>
  <si>
    <t xml:space="preserve">η_el</t>
  </si>
  <si>
    <t xml:space="preserve">η_h</t>
  </si>
  <si>
    <t xml:space="preserve">T_h [K]</t>
  </si>
  <si>
    <t xml:space="preserve">C_h (Carnot)</t>
  </si>
  <si>
    <t xml:space="preserve">Anhang VI Teil B Nr. 1 lit. d</t>
  </si>
  <si>
    <t xml:space="preserve">Allokationsfaktor Elektrizität C_el·η_el/(C_el·η_el + C_h·η_h)</t>
  </si>
  <si>
    <t xml:space="preserve">Allokationsfaktor Wärme C_h·η_h/(C_el·η_el + C_h·η_h)</t>
  </si>
  <si>
    <t xml:space="preserve">EC_el [g CO2-Äq/MJ Elektrizität]</t>
  </si>
  <si>
    <t xml:space="preserve">EC_h [g CO2-Äq/MJ Wärme]</t>
  </si>
  <si>
    <t xml:space="preserve">Komparator Verkehr</t>
  </si>
  <si>
    <t xml:space="preserve">Komparator Elektrizität</t>
  </si>
  <si>
    <t xml:space="preserve">Komparator Wärme</t>
  </si>
  <si>
    <t xml:space="preserve">Inbetriebnahme</t>
  </si>
  <si>
    <t xml:space="preserve">Gesamtfeuerungswärmeleistung [MW]</t>
  </si>
  <si>
    <t xml:space="preserve">Ende 15. Betriebsjahr</t>
  </si>
  <si>
    <t xml:space="preserve">Mindesteinsparung Verkehr</t>
  </si>
  <si>
    <t xml:space="preserve">lit. Verkehr</t>
  </si>
  <si>
    <t xml:space="preserve">lit. Strom/Wärme</t>
  </si>
  <si>
    <t xml:space="preserve">Beginn 80 %-Pflicht (lit. e–h)</t>
  </si>
  <si>
    <t xml:space="preserve">Mindesteinsparung Strom/Wärme</t>
  </si>
  <si>
    <t xml:space="preserve">"keine" = vor Ende der Übergangsfrist keine Mindesteinsparung</t>
  </si>
  <si>
    <t xml:space="preserve">Verwendung Verkehr?</t>
  </si>
  <si>
    <t xml:space="preserve">Verwendung nur Strom?</t>
  </si>
  <si>
    <t xml:space="preserve">Verwendung nur Wärme?</t>
  </si>
  <si>
    <t xml:space="preserve">Verwendung KWK?</t>
  </si>
  <si>
    <t xml:space="preserve">Standardwert zulässig? (e_l ≤ 0 oder kein Mais)</t>
  </si>
  <si>
    <t xml:space="preserve">Art. 31 Abs. 1 lit. a</t>
  </si>
  <si>
    <t xml:space="preserve">Standardwert gewählt?</t>
  </si>
  <si>
    <t xml:space="preserve">Anwendungsbereich Nutzungsanlage ≥ 2 MW?</t>
  </si>
  <si>
    <t xml:space="preserve">Art. 29 Abs. 1 UAbs. 4 lit. b</t>
  </si>
  <si>
    <t xml:space="preserve">Produktionsanlage &gt; 200 m³/h?</t>
  </si>
  <si>
    <t xml:space="preserve">Art. 29 Abs. 1 UAbs. 4 lit. c</t>
  </si>
  <si>
    <t xml:space="preserve">Produkt</t>
  </si>
  <si>
    <t xml:space="preserve">relevant</t>
  </si>
  <si>
    <t xml:space="preserve">Emissionen</t>
  </si>
  <si>
    <t xml:space="preserve">Komparator</t>
  </si>
  <si>
    <t xml:space="preserve">Einsparung</t>
  </si>
  <si>
    <t xml:space="preserve">Verkehr</t>
  </si>
  <si>
    <t xml:space="preserve">Wärme</t>
  </si>
  <si>
    <t xml:space="preserve">Ergebnissatz</t>
  </si>
  <si>
    <t xml:space="preserve">Hinweise</t>
  </si>
  <si>
    <t xml:space="preserve">SEG Farbpalette</t>
  </si>
  <si>
    <t xml:space="preserve">Schrift</t>
  </si>
  <si>
    <t xml:space="preserve">Calibri</t>
  </si>
  <si>
    <t xml:space="preserve">Primary color</t>
  </si>
  <si>
    <t xml:space="preserve">test</t>
  </si>
  <si>
    <t xml:space="preserve">Secondary Colors</t>
  </si>
  <si>
    <t xml:space="preserve">Ja/Nein</t>
  </si>
  <si>
    <t xml:space="preserve">Typischer Wert</t>
  </si>
  <si>
    <t xml:space="preserve">Stromerzeugung (ohne Wärmenutzung)</t>
  </si>
  <si>
    <t xml:space="preserve">Wärme-/Kälteerzeugung (ohne Strom)</t>
  </si>
</sst>
</file>

<file path=xl/styles.xml><?xml version="1.0" encoding="utf-8"?>
<styleSheet xmlns="http://schemas.openxmlformats.org/spreadsheetml/2006/main">
  <numFmts count="13">
    <numFmt numFmtId="164" formatCode="General"/>
    <numFmt numFmtId="165" formatCode="@"/>
    <numFmt numFmtId="166" formatCode="#,##0.0"/>
    <numFmt numFmtId="167" formatCode="0.0"/>
    <numFmt numFmtId="168" formatCode="0"/>
    <numFmt numFmtId="169" formatCode="0.0%"/>
    <numFmt numFmtId="170" formatCode="dd\.mm\.yyyy"/>
    <numFmt numFmtId="171" formatCode="#,##0"/>
    <numFmt numFmtId="172" formatCode="0%"/>
    <numFmt numFmtId="173" formatCode="0.00"/>
    <numFmt numFmtId="174" formatCode="0.0000"/>
    <numFmt numFmtId="175" formatCode="0.000"/>
    <numFmt numFmtId="176" formatCode="General"/>
  </numFmts>
  <fonts count="27">
    <font>
      <sz val="11"/>
      <color theme="1"/>
      <name val="Calibri"/>
      <family val="2"/>
      <charset val="1"/>
    </font>
    <font>
      <sz val="10"/>
      <name val="Arial"/>
      <family val="0"/>
    </font>
    <font>
      <sz val="10"/>
      <name val="Arial"/>
      <family val="0"/>
    </font>
    <font>
      <sz val="10"/>
      <name val="Arial"/>
      <family val="0"/>
    </font>
    <font>
      <b val="true"/>
      <sz val="11"/>
      <name val="Calibri"/>
      <family val="2"/>
      <charset val="1"/>
    </font>
    <font>
      <sz val="11"/>
      <color rgb="FF000000"/>
      <name val="Calibri"/>
      <family val="2"/>
      <charset val="1"/>
    </font>
    <font>
      <sz val="11"/>
      <color rgb="FF31352E"/>
      <name val="Calibri"/>
      <family val="2"/>
      <charset val="1"/>
    </font>
    <font>
      <b val="true"/>
      <sz val="24"/>
      <color rgb="FF31352E"/>
      <name val="Calibri"/>
      <family val="2"/>
      <charset val="1"/>
    </font>
    <font>
      <b val="true"/>
      <sz val="11"/>
      <color rgb="FF31352E"/>
      <name val="Calibri"/>
      <family val="2"/>
      <charset val="1"/>
    </font>
    <font>
      <i val="true"/>
      <sz val="11"/>
      <color rgb="FF000000"/>
      <name val="Calibri"/>
      <family val="0"/>
    </font>
    <font>
      <b val="true"/>
      <sz val="24"/>
      <color rgb="FF31352E"/>
      <name val="Calibri"/>
      <family val="0"/>
      <charset val="1"/>
    </font>
    <font>
      <i val="true"/>
      <sz val="10"/>
      <color rgb="FF31352E"/>
      <name val="Calibri"/>
      <family val="0"/>
      <charset val="1"/>
    </font>
    <font>
      <b val="true"/>
      <sz val="14"/>
      <color rgb="FF31352E"/>
      <name val="Calibri"/>
      <family val="0"/>
      <charset val="1"/>
    </font>
    <font>
      <b val="true"/>
      <sz val="10"/>
      <color rgb="FF31352E"/>
      <name val="Calibri"/>
      <family val="0"/>
      <charset val="1"/>
    </font>
    <font>
      <sz val="10"/>
      <color rgb="FF8C8C8C"/>
      <name val="Calibri"/>
      <family val="0"/>
      <charset val="1"/>
    </font>
    <font>
      <sz val="10"/>
      <color rgb="FF31352E"/>
      <name val="Calibri"/>
      <family val="0"/>
      <charset val="1"/>
    </font>
    <font>
      <i val="true"/>
      <sz val="9"/>
      <color rgb="FF5E6157"/>
      <name val="Calibri"/>
      <family val="0"/>
      <charset val="1"/>
    </font>
    <font>
      <b val="true"/>
      <sz val="13"/>
      <color rgb="FFFFFFFF"/>
      <name val="Calibri"/>
      <family val="0"/>
      <charset val="1"/>
    </font>
    <font>
      <sz val="11"/>
      <color rgb="FF31352E"/>
      <name val="Calibri"/>
      <family val="0"/>
      <charset val="1"/>
    </font>
    <font>
      <b val="true"/>
      <sz val="11"/>
      <color rgb="FF31352E"/>
      <name val="Calibri"/>
      <family val="0"/>
      <charset val="1"/>
    </font>
    <font>
      <b val="true"/>
      <sz val="12"/>
      <color rgb="FFFFFFFF"/>
      <name val="Calibri"/>
      <family val="0"/>
      <charset val="1"/>
    </font>
    <font>
      <sz val="10"/>
      <color rgb="FF9C0006"/>
      <name val="Calibri"/>
      <family val="0"/>
      <charset val="1"/>
    </font>
    <font>
      <i val="true"/>
      <sz val="9"/>
      <color rgb="FF31352E"/>
      <name val="Calibri"/>
      <family val="0"/>
      <charset val="1"/>
    </font>
    <font>
      <sz val="9"/>
      <color rgb="FF225856"/>
      <name val="Calibri"/>
      <family val="0"/>
      <charset val="1"/>
    </font>
    <font>
      <sz val="10"/>
      <name val="Arial"/>
      <family val="2"/>
    </font>
    <font>
      <b val="true"/>
      <sz val="16"/>
      <color rgb="FF31352E"/>
      <name val="Calibri"/>
      <family val="0"/>
      <charset val="1"/>
    </font>
    <font>
      <b val="true"/>
      <sz val="12"/>
      <color rgb="FF31352E"/>
      <name val="Calibri"/>
      <family val="0"/>
      <charset val="1"/>
    </font>
  </fonts>
  <fills count="32">
    <fill>
      <patternFill patternType="none"/>
    </fill>
    <fill>
      <patternFill patternType="gray125"/>
    </fill>
    <fill>
      <patternFill patternType="solid">
        <fgColor rgb="FFDDDDDD"/>
        <bgColor rgb="FFE4E4DC"/>
      </patternFill>
    </fill>
    <fill>
      <patternFill patternType="solid">
        <fgColor rgb="FFFFFFFF"/>
        <bgColor rgb="FFFBF9ED"/>
      </patternFill>
    </fill>
    <fill>
      <patternFill patternType="solid">
        <fgColor rgb="FFF3F6E8"/>
        <bgColor rgb="FFFBF9ED"/>
      </patternFill>
    </fill>
    <fill>
      <patternFill patternType="solid">
        <fgColor rgb="FFD6D6D6"/>
        <bgColor rgb="FFDDDDDD"/>
      </patternFill>
    </fill>
    <fill>
      <patternFill patternType="solid">
        <fgColor rgb="FFE4E4DC"/>
        <bgColor rgb="FFDDDDDD"/>
      </patternFill>
    </fill>
    <fill>
      <patternFill patternType="solid">
        <fgColor rgb="FF778A35"/>
        <bgColor rgb="FF8C8C8C"/>
      </patternFill>
    </fill>
    <fill>
      <patternFill patternType="solid">
        <fgColor rgb="FF546713"/>
        <bgColor rgb="FF5E6157"/>
      </patternFill>
    </fill>
    <fill>
      <patternFill patternType="solid">
        <fgColor rgb="FFCFE091"/>
        <bgColor rgb="FFC6EFCE"/>
      </patternFill>
    </fill>
    <fill>
      <patternFill patternType="solid">
        <fgColor rgb="FF31352E"/>
        <bgColor rgb="FF2E2600"/>
      </patternFill>
    </fill>
    <fill>
      <patternFill patternType="solid">
        <fgColor rgb="FF181C0B"/>
        <bgColor rgb="FF2E2600"/>
      </patternFill>
    </fill>
    <fill>
      <patternFill patternType="solid">
        <fgColor rgb="FFE3F4F4"/>
        <bgColor rgb="FFF3F6E8"/>
      </patternFill>
    </fill>
    <fill>
      <patternFill patternType="solid">
        <fgColor rgb="FF5C8F8D"/>
        <bgColor rgb="FF8C8C8C"/>
      </patternFill>
    </fill>
    <fill>
      <patternFill patternType="solid">
        <fgColor rgb="FF225856"/>
        <bgColor rgb="FF0C413F"/>
      </patternFill>
    </fill>
    <fill>
      <patternFill patternType="solid">
        <fgColor rgb="FF0C413F"/>
        <bgColor rgb="FF225856"/>
      </patternFill>
    </fill>
    <fill>
      <patternFill patternType="solid">
        <fgColor rgb="FF000D0C"/>
        <bgColor rgb="FF000000"/>
      </patternFill>
    </fill>
    <fill>
      <patternFill patternType="solid">
        <fgColor rgb="FFF6EFE8"/>
        <bgColor rgb="FFF3F6E8"/>
      </patternFill>
    </fill>
    <fill>
      <patternFill patternType="solid">
        <fgColor rgb="FFEBBD98"/>
        <bgColor rgb="FFFFC7CE"/>
      </patternFill>
    </fill>
    <fill>
      <patternFill patternType="solid">
        <fgColor rgb="FF905F37"/>
        <bgColor rgb="FF5E6157"/>
      </patternFill>
    </fill>
    <fill>
      <patternFill patternType="solid">
        <fgColor rgb="FF6C3B13"/>
        <bgColor rgb="FF68285B"/>
      </patternFill>
    </fill>
    <fill>
      <patternFill patternType="solid">
        <fgColor rgb="FF150900"/>
        <bgColor rgb="FF0F000C"/>
      </patternFill>
    </fill>
    <fill>
      <patternFill patternType="solid">
        <fgColor rgb="FFF5E5F2"/>
        <bgColor rgb="FFF6EFE8"/>
      </patternFill>
    </fill>
    <fill>
      <patternFill patternType="solid">
        <fgColor rgb="FFA86D9D"/>
        <bgColor rgb="FF8C8C8C"/>
      </patternFill>
    </fill>
    <fill>
      <patternFill patternType="solid">
        <fgColor rgb="FF68285B"/>
        <bgColor rgb="FF4D0E41"/>
      </patternFill>
    </fill>
    <fill>
      <patternFill patternType="solid">
        <fgColor rgb="FF4D0E41"/>
        <bgColor rgb="FF68285B"/>
      </patternFill>
    </fill>
    <fill>
      <patternFill patternType="solid">
        <fgColor rgb="FF0F000C"/>
        <bgColor rgb="FF150900"/>
      </patternFill>
    </fill>
    <fill>
      <patternFill patternType="solid">
        <fgColor rgb="FFFBF9ED"/>
        <bgColor rgb="FFF3F6E8"/>
      </patternFill>
    </fill>
    <fill>
      <patternFill patternType="solid">
        <fgColor rgb="FFFFEE98"/>
        <bgColor rgb="FFF6EFE8"/>
      </patternFill>
    </fill>
    <fill>
      <patternFill patternType="solid">
        <fgColor rgb="FFD9C148"/>
        <bgColor rgb="FFEBBD98"/>
      </patternFill>
    </fill>
    <fill>
      <patternFill patternType="solid">
        <fgColor rgb="FFB89E1D"/>
        <bgColor rgb="FFD9C148"/>
      </patternFill>
    </fill>
    <fill>
      <patternFill patternType="solid">
        <fgColor rgb="FF2E2600"/>
        <bgColor rgb="FF181C0B"/>
      </patternFill>
    </fill>
  </fills>
  <borders count="18">
    <border diagonalUp="false" diagonalDown="false">
      <left/>
      <right/>
      <top/>
      <bottom/>
      <diagonal/>
    </border>
    <border diagonalUp="false" diagonalDown="false">
      <left/>
      <right/>
      <top/>
      <bottom style="thin">
        <color rgb="FF778A35"/>
      </bottom>
      <diagonal/>
    </border>
    <border diagonalUp="false" diagonalDown="false">
      <left/>
      <right/>
      <top/>
      <bottom style="thin">
        <color theme="0"/>
      </bottom>
      <diagonal/>
    </border>
    <border diagonalUp="false" diagonalDown="false">
      <left/>
      <right/>
      <top style="thin">
        <color theme="0"/>
      </top>
      <bottom style="thin">
        <color theme="0"/>
      </bottom>
      <diagonal/>
    </border>
    <border diagonalUp="false" diagonalDown="false">
      <left style="medium">
        <color rgb="FF546713"/>
      </left>
      <right style="medium">
        <color rgb="FF546713"/>
      </right>
      <top style="medium">
        <color rgb="FF546713"/>
      </top>
      <bottom style="medium">
        <color rgb="FF546713"/>
      </bottom>
      <diagonal/>
    </border>
    <border diagonalUp="false" diagonalDown="false">
      <left/>
      <right/>
      <top/>
      <bottom style="thin">
        <color rgb="FF546713"/>
      </bottom>
      <diagonal/>
    </border>
    <border diagonalUp="false" diagonalDown="false">
      <left style="thin">
        <color rgb="FFB8B39A"/>
      </left>
      <right style="thin">
        <color rgb="FFB8B39A"/>
      </right>
      <top style="thin">
        <color rgb="FFB8B39A"/>
      </top>
      <bottom style="thin">
        <color rgb="FFB8B39A"/>
      </botto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true" applyAlignment="true" applyProtection="true">
      <alignment horizontal="general"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cellStyleXfs>
  <cellXfs count="113">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false" indent="0" shrinkToFit="false"/>
      <protection locked="true" hidden="false"/>
    </xf>
    <xf numFmtId="164" fontId="6" fillId="3" borderId="0"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8" fillId="3" borderId="0" xfId="0" applyFont="true" applyBorder="true" applyAlignment="true" applyProtection="false">
      <alignment horizontal="general" vertical="top" textRotation="0" wrapText="true" indent="0" shrinkToFit="false"/>
      <protection locked="true" hidden="false"/>
    </xf>
    <xf numFmtId="164" fontId="6" fillId="3"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6" fillId="3" borderId="0" xfId="0" applyFont="true" applyBorder="true" applyAlignment="true" applyProtection="false">
      <alignment horizontal="left" vertical="top" textRotation="0" wrapText="true" indent="0" shrinkToFit="false"/>
      <protection locked="true" hidden="false"/>
    </xf>
    <xf numFmtId="164" fontId="6" fillId="3" borderId="0"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true" applyAlignment="true" applyProtection="false">
      <alignment horizontal="left" vertical="center" textRotation="0" wrapText="tru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6" fillId="0" borderId="3"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4" fontId="0" fillId="4" borderId="0" xfId="0" applyFont="fals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general" vertical="center" textRotation="0" wrapText="false" indent="0" shrinkToFit="false"/>
      <protection locked="true" hidden="false"/>
    </xf>
    <xf numFmtId="164" fontId="13" fillId="3" borderId="4" xfId="0" applyFont="true" applyBorder="true" applyAlignment="true" applyProtection="false">
      <alignment horizontal="center" vertical="center" textRotation="0" wrapText="false" indent="0" shrinkToFit="false"/>
      <protection locked="true" hidden="false"/>
    </xf>
    <xf numFmtId="164" fontId="14" fillId="5" borderId="0" xfId="0" applyFont="true" applyBorder="true" applyAlignment="true" applyProtection="false">
      <alignment horizontal="center" vertical="center" textRotation="0" wrapText="false" indent="0" shrinkToFit="false"/>
      <protection locked="true" hidden="false"/>
    </xf>
    <xf numFmtId="164" fontId="15" fillId="6" borderId="0" xfId="0" applyFont="true" applyBorder="true" applyAlignment="true" applyProtection="false">
      <alignment horizontal="center" vertical="center" textRotation="0" wrapText="false" indent="0" shrinkToFit="false"/>
      <protection locked="true" hidden="false"/>
    </xf>
    <xf numFmtId="164" fontId="16" fillId="4" borderId="0" xfId="0" applyFont="true" applyBorder="true" applyAlignment="true" applyProtection="false">
      <alignment horizontal="general" vertical="center" textRotation="0" wrapText="true" indent="0" shrinkToFit="false"/>
      <protection locked="true" hidden="false"/>
    </xf>
    <xf numFmtId="164" fontId="17" fillId="7" borderId="0" xfId="0" applyFont="true" applyBorder="true" applyAlignment="true" applyProtection="false">
      <alignment horizontal="general" vertical="center" textRotation="0" wrapText="false" indent="0" shrinkToFit="false"/>
      <protection locked="true" hidden="false"/>
    </xf>
    <xf numFmtId="164" fontId="0" fillId="7" borderId="0" xfId="0" applyFont="false" applyBorder="true" applyAlignment="false" applyProtection="false">
      <alignment horizontal="general" vertical="bottom" textRotation="0" wrapText="false" indent="0" shrinkToFit="false"/>
      <protection locked="true" hidden="false"/>
    </xf>
    <xf numFmtId="164" fontId="13" fillId="4" borderId="5" xfId="0" applyFont="true" applyBorder="true" applyAlignment="true" applyProtection="false">
      <alignment horizontal="general" vertical="center" textRotation="0" wrapText="true" indent="0" shrinkToFit="false"/>
      <protection locked="true" hidden="false"/>
    </xf>
    <xf numFmtId="164" fontId="13" fillId="4" borderId="5" xfId="0" applyFont="true" applyBorder="true" applyAlignment="true" applyProtection="false">
      <alignment horizontal="center" vertical="center" textRotation="0" wrapText="true" indent="0" shrinkToFit="false"/>
      <protection locked="true" hidden="false"/>
    </xf>
    <xf numFmtId="164" fontId="18" fillId="4" borderId="0" xfId="0" applyFont="true" applyBorder="true" applyAlignment="true" applyProtection="false">
      <alignment horizontal="general" vertical="center" textRotation="0" wrapText="true" indent="0" shrinkToFit="false"/>
      <protection locked="true" hidden="false"/>
    </xf>
    <xf numFmtId="166" fontId="19" fillId="3" borderId="4" xfId="0" applyFont="true" applyBorder="true" applyAlignment="true" applyProtection="false">
      <alignment horizontal="center" vertical="center" textRotation="0" wrapText="false" indent="0" shrinkToFit="false"/>
      <protection locked="true" hidden="false"/>
    </xf>
    <xf numFmtId="167" fontId="19" fillId="3" borderId="4" xfId="0" applyFont="true" applyBorder="true" applyAlignment="true" applyProtection="false">
      <alignment horizontal="center" vertical="center" textRotation="0" wrapText="false" indent="0" shrinkToFit="false"/>
      <protection locked="true" hidden="false"/>
    </xf>
    <xf numFmtId="168" fontId="18" fillId="6" borderId="6" xfId="0" applyFont="true" applyBorder="true" applyAlignment="true" applyProtection="false">
      <alignment horizontal="center" vertical="center" textRotation="0" wrapText="false" indent="0" shrinkToFit="false"/>
      <protection locked="true" hidden="false"/>
    </xf>
    <xf numFmtId="169" fontId="18" fillId="6" borderId="6" xfId="0" applyFont="true" applyBorder="true" applyAlignment="true" applyProtection="false">
      <alignment horizontal="center" vertical="center" textRotation="0" wrapText="false" indent="0" shrinkToFit="false"/>
      <protection locked="true" hidden="false"/>
    </xf>
    <xf numFmtId="164" fontId="19" fillId="4" borderId="0" xfId="0" applyFont="true" applyBorder="true" applyAlignment="true" applyProtection="false">
      <alignment horizontal="general" vertical="center" textRotation="0" wrapText="true" indent="0" shrinkToFit="false"/>
      <protection locked="true" hidden="false"/>
    </xf>
    <xf numFmtId="166" fontId="19" fillId="6" borderId="6" xfId="0" applyFont="true" applyBorder="true" applyAlignment="true" applyProtection="false">
      <alignment horizontal="center" vertical="center" textRotation="0" wrapText="false" indent="0" shrinkToFit="false"/>
      <protection locked="true" hidden="false"/>
    </xf>
    <xf numFmtId="169" fontId="19" fillId="6" borderId="6" xfId="0" applyFont="true" applyBorder="true" applyAlignment="true" applyProtection="false">
      <alignment horizontal="center" vertical="center" textRotation="0" wrapText="false" indent="0" shrinkToFit="false"/>
      <protection locked="true" hidden="false"/>
    </xf>
    <xf numFmtId="164" fontId="16" fillId="4" borderId="0" xfId="0" applyFont="true" applyBorder="true" applyAlignment="true" applyProtection="false">
      <alignment horizontal="general" vertical="top" textRotation="0" wrapText="true" indent="0" shrinkToFit="false"/>
      <protection locked="true" hidden="false"/>
    </xf>
    <xf numFmtId="164" fontId="19" fillId="3" borderId="4" xfId="0" applyFont="true" applyBorder="true" applyAlignment="true" applyProtection="false">
      <alignment horizontal="center" vertical="center" textRotation="0" wrapText="false" indent="0" shrinkToFit="false"/>
      <protection locked="true" hidden="false"/>
    </xf>
    <xf numFmtId="168" fontId="19" fillId="3" borderId="4" xfId="0" applyFont="true" applyBorder="true" applyAlignment="true" applyProtection="false">
      <alignment horizontal="center" vertical="center" textRotation="0" wrapText="false" indent="0" shrinkToFit="false"/>
      <protection locked="true" hidden="false"/>
    </xf>
    <xf numFmtId="170" fontId="19" fillId="3" borderId="4" xfId="0" applyFont="true" applyBorder="true" applyAlignment="true" applyProtection="false">
      <alignment horizontal="center" vertical="center" textRotation="0" wrapText="false" indent="0" shrinkToFit="false"/>
      <protection locked="true" hidden="false"/>
    </xf>
    <xf numFmtId="171" fontId="19" fillId="3" borderId="4" xfId="0" applyFont="true" applyBorder="true" applyAlignment="true" applyProtection="false">
      <alignment horizontal="center" vertical="center" textRotation="0" wrapText="false" indent="0" shrinkToFit="false"/>
      <protection locked="true" hidden="false"/>
    </xf>
    <xf numFmtId="167" fontId="19" fillId="6" borderId="6" xfId="0" applyFont="true" applyBorder="true" applyAlignment="true" applyProtection="false">
      <alignment horizontal="center" vertical="center" textRotation="0" wrapText="false" indent="0" shrinkToFit="false"/>
      <protection locked="true" hidden="false"/>
    </xf>
    <xf numFmtId="164" fontId="16" fillId="4" borderId="0" xfId="0" applyFont="true" applyBorder="true" applyAlignment="true" applyProtection="false">
      <alignment horizontal="general" vertical="center" textRotation="0" wrapText="false" indent="0" shrinkToFit="false"/>
      <protection locked="true" hidden="false"/>
    </xf>
    <xf numFmtId="164" fontId="19" fillId="4" borderId="5" xfId="0" applyFont="true" applyBorder="true" applyAlignment="true" applyProtection="false">
      <alignment horizontal="general" vertical="center" textRotation="0" wrapText="true" indent="0" shrinkToFit="false"/>
      <protection locked="true" hidden="false"/>
    </xf>
    <xf numFmtId="164" fontId="19" fillId="4" borderId="5" xfId="0" applyFont="true" applyBorder="true" applyAlignment="true" applyProtection="false">
      <alignment horizontal="center" vertical="center" textRotation="0" wrapText="true" indent="0" shrinkToFit="false"/>
      <protection locked="true" hidden="false"/>
    </xf>
    <xf numFmtId="164" fontId="18" fillId="4" borderId="6" xfId="0" applyFont="true" applyBorder="true" applyAlignment="true" applyProtection="false">
      <alignment horizontal="general" vertical="center" textRotation="0" wrapText="false" indent="0" shrinkToFit="false"/>
      <protection locked="true" hidden="false"/>
    </xf>
    <xf numFmtId="172" fontId="18" fillId="6" borderId="6" xfId="0" applyFont="true" applyBorder="true" applyAlignment="true" applyProtection="false">
      <alignment horizontal="center" vertical="center" textRotation="0" wrapText="false" indent="0" shrinkToFit="false"/>
      <protection locked="true" hidden="false"/>
    </xf>
    <xf numFmtId="164" fontId="19" fillId="6" borderId="6" xfId="0" applyFont="true" applyBorder="true" applyAlignment="true" applyProtection="false">
      <alignment horizontal="center" vertical="center" textRotation="0" wrapText="true" indent="0" shrinkToFit="false"/>
      <protection locked="true" hidden="false"/>
    </xf>
    <xf numFmtId="164" fontId="20" fillId="8" borderId="0" xfId="0" applyFont="true" applyBorder="true" applyAlignment="true" applyProtection="false">
      <alignment horizontal="center" vertical="center" textRotation="0" wrapText="true" indent="0" shrinkToFit="false"/>
      <protection locked="true" hidden="false"/>
    </xf>
    <xf numFmtId="164" fontId="19" fillId="4" borderId="0" xfId="0" applyFont="true" applyBorder="true" applyAlignment="true" applyProtection="false">
      <alignment horizontal="general" vertical="center" textRotation="0" wrapText="false" indent="0" shrinkToFit="false"/>
      <protection locked="true" hidden="false"/>
    </xf>
    <xf numFmtId="164" fontId="15" fillId="6" borderId="0" xfId="0" applyFont="true" applyBorder="true" applyAlignment="true" applyProtection="false">
      <alignment horizontal="general" vertical="center" textRotation="0" wrapText="true" indent="0" shrinkToFit="false"/>
      <protection locked="true" hidden="false"/>
    </xf>
    <xf numFmtId="164" fontId="21" fillId="4" borderId="0"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true" applyAlignment="true" applyProtection="false">
      <alignment horizontal="general" vertical="center" textRotation="0" wrapText="false" indent="0" shrinkToFit="false"/>
      <protection locked="true" hidden="false"/>
    </xf>
    <xf numFmtId="164" fontId="25" fillId="0" borderId="0" xfId="0" applyFont="true" applyBorder="true" applyAlignment="true" applyProtection="false">
      <alignment horizontal="general" vertical="center" textRotation="0" wrapText="false" indent="0" shrinkToFit="false"/>
      <protection locked="true" hidden="false"/>
    </xf>
    <xf numFmtId="164" fontId="13" fillId="9" borderId="6"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true" applyProtection="false">
      <alignment horizontal="center" vertical="top" textRotation="0" wrapText="true" indent="0" shrinkToFit="false"/>
      <protection locked="true" hidden="false"/>
    </xf>
    <xf numFmtId="164" fontId="15" fillId="0" borderId="6" xfId="0" applyFont="true" applyBorder="true" applyAlignment="true" applyProtection="false">
      <alignment horizontal="general" vertical="top" textRotation="0" wrapText="true" indent="0" shrinkToFit="false"/>
      <protection locked="true" hidden="false"/>
    </xf>
    <xf numFmtId="164" fontId="26" fillId="0" borderId="0" xfId="0" applyFont="true" applyBorder="true" applyAlignment="true" applyProtection="false">
      <alignment horizontal="general" vertical="center" textRotation="0" wrapText="false" indent="0" shrinkToFit="false"/>
      <protection locked="true" hidden="false"/>
    </xf>
    <xf numFmtId="164" fontId="15" fillId="0" borderId="6" xfId="0" applyFont="true" applyBorder="true" applyAlignment="true" applyProtection="false">
      <alignment horizontal="general" vertical="center" textRotation="0" wrapText="false" indent="0" shrinkToFit="false"/>
      <protection locked="true" hidden="false"/>
    </xf>
    <xf numFmtId="164" fontId="15" fillId="0" borderId="6"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true" applyProtection="false">
      <alignment horizontal="general" vertical="center" textRotation="0" wrapText="true" indent="0" shrinkToFit="false"/>
      <protection locked="true" hidden="false"/>
    </xf>
    <xf numFmtId="172" fontId="15" fillId="0" borderId="6" xfId="0" applyFont="true" applyBorder="true" applyAlignment="true" applyProtection="false">
      <alignment horizontal="center" vertical="center" textRotation="0" wrapText="false" indent="0" shrinkToFit="false"/>
      <protection locked="true" hidden="false"/>
    </xf>
    <xf numFmtId="170" fontId="15" fillId="0" borderId="6" xfId="0" applyFont="true" applyBorder="true" applyAlignment="true" applyProtection="false">
      <alignment horizontal="center" vertical="center" textRotation="0" wrapText="false" indent="0" shrinkToFit="false"/>
      <protection locked="true" hidden="false"/>
    </xf>
    <xf numFmtId="164" fontId="13" fillId="9" borderId="6" xfId="0" applyFont="true" applyBorder="true" applyAlignment="true" applyProtection="false">
      <alignment horizontal="center" vertical="center" textRotation="0" wrapText="true" indent="0" shrinkToFit="false"/>
      <protection locked="true" hidden="false"/>
    </xf>
    <xf numFmtId="168" fontId="15" fillId="0" borderId="6" xfId="0" applyFont="true" applyBorder="true" applyAlignment="true" applyProtection="false">
      <alignment horizontal="center" vertical="center" textRotation="0" wrapText="false" indent="0" shrinkToFit="false"/>
      <protection locked="true" hidden="false"/>
    </xf>
    <xf numFmtId="173" fontId="15" fillId="0" borderId="6" xfId="0" applyFont="true" applyBorder="true" applyAlignment="true" applyProtection="false">
      <alignment horizontal="center" vertical="center" textRotation="0" wrapText="false" indent="0" shrinkToFit="false"/>
      <protection locked="true" hidden="false"/>
    </xf>
    <xf numFmtId="167" fontId="15" fillId="0" borderId="6" xfId="0" applyFont="true" applyBorder="true" applyAlignment="true" applyProtection="false">
      <alignment horizontal="center" vertical="center" textRotation="0" wrapText="false" indent="0" shrinkToFit="false"/>
      <protection locked="true" hidden="false"/>
    </xf>
    <xf numFmtId="174" fontId="15" fillId="0" borderId="6" xfId="0" applyFont="true" applyBorder="true" applyAlignment="true" applyProtection="false">
      <alignment horizontal="center" vertical="center" textRotation="0" wrapText="false" indent="0" shrinkToFit="false"/>
      <protection locked="true" hidden="false"/>
    </xf>
    <xf numFmtId="166" fontId="15" fillId="0" borderId="6" xfId="0" applyFont="true" applyBorder="true" applyAlignment="true" applyProtection="false">
      <alignment horizontal="center" vertical="center" textRotation="0" wrapText="false" indent="0" shrinkToFit="false"/>
      <protection locked="true" hidden="false"/>
    </xf>
    <xf numFmtId="175" fontId="15" fillId="0" borderId="6"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false" indent="0" shrinkToFit="false"/>
      <protection locked="true" hidden="false"/>
    </xf>
    <xf numFmtId="176" fontId="15" fillId="0" borderId="6" xfId="0" applyFont="true" applyBorder="true" applyAlignment="true" applyProtection="false">
      <alignment horizontal="center" vertical="center" textRotation="0" wrapText="false" indent="0" shrinkToFit="false"/>
      <protection locked="true" hidden="false"/>
    </xf>
    <xf numFmtId="169" fontId="15" fillId="0" borderId="6"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6" fillId="10" borderId="7" xfId="0" applyFont="true" applyBorder="true" applyAlignment="false" applyProtection="false">
      <alignment horizontal="general" vertical="bottom" textRotation="0" wrapText="false" indent="0" shrinkToFit="false"/>
      <protection locked="true" hidden="false"/>
    </xf>
    <xf numFmtId="164" fontId="6" fillId="0" borderId="8" xfId="0" applyFont="true" applyBorder="true" applyAlignment="true" applyProtection="false">
      <alignment horizontal="center" vertical="bottom" textRotation="0" wrapText="false" indent="0" shrinkToFit="false"/>
      <protection locked="true" hidden="false"/>
    </xf>
    <xf numFmtId="164" fontId="6" fillId="0" borderId="9" xfId="0" applyFont="true" applyBorder="true" applyAlignment="true" applyProtection="false">
      <alignment horizontal="center" vertical="bottom" textRotation="0" wrapText="false" indent="0" shrinkToFit="false"/>
      <protection locked="true" hidden="false"/>
    </xf>
    <xf numFmtId="164" fontId="6" fillId="4" borderId="10" xfId="0" applyFont="true" applyBorder="true" applyAlignment="false" applyProtection="false">
      <alignment horizontal="general" vertical="bottom" textRotation="0" wrapText="false" indent="0" shrinkToFit="false"/>
      <protection locked="true" hidden="false"/>
    </xf>
    <xf numFmtId="164" fontId="6" fillId="0" borderId="11" xfId="0" applyFont="true" applyBorder="true" applyAlignment="true" applyProtection="false">
      <alignment horizontal="center" vertical="bottom" textRotation="0" wrapText="false" indent="0" shrinkToFit="false"/>
      <protection locked="true" hidden="false"/>
    </xf>
    <xf numFmtId="164" fontId="6" fillId="0" borderId="12" xfId="0" applyFont="true" applyBorder="true" applyAlignment="true" applyProtection="false">
      <alignment horizontal="center" vertical="bottom" textRotation="0" wrapText="false" indent="0" shrinkToFit="false"/>
      <protection locked="true" hidden="false"/>
    </xf>
    <xf numFmtId="164" fontId="6" fillId="9" borderId="13" xfId="0" applyFont="true" applyBorder="true" applyAlignment="false" applyProtection="false">
      <alignment horizontal="general" vertical="bottom" textRotation="0" wrapText="false" indent="0" shrinkToFit="false"/>
      <protection locked="true" hidden="false"/>
    </xf>
    <xf numFmtId="164" fontId="6" fillId="0" borderId="14" xfId="0" applyFont="true" applyBorder="true" applyAlignment="true" applyProtection="false">
      <alignment horizontal="center" vertical="bottom" textRotation="0" wrapText="false" indent="0" shrinkToFit="false"/>
      <protection locked="true" hidden="false"/>
    </xf>
    <xf numFmtId="164" fontId="6" fillId="7" borderId="13" xfId="0" applyFont="true" applyBorder="true" applyAlignment="false" applyProtection="false">
      <alignment horizontal="general" vertical="bottom" textRotation="0" wrapText="false" indent="0" shrinkToFit="false"/>
      <protection locked="true" hidden="false"/>
    </xf>
    <xf numFmtId="164" fontId="6" fillId="8" borderId="13" xfId="0" applyFont="true" applyBorder="true" applyAlignment="false" applyProtection="false">
      <alignment horizontal="general" vertical="bottom" textRotation="0" wrapText="false" indent="0" shrinkToFit="false"/>
      <protection locked="true" hidden="false"/>
    </xf>
    <xf numFmtId="164" fontId="6" fillId="11" borderId="15" xfId="0" applyFont="true" applyBorder="true" applyAlignment="false" applyProtection="false">
      <alignment horizontal="general" vertical="bottom" textRotation="0" wrapText="false" indent="0" shrinkToFit="false"/>
      <protection locked="true" hidden="false"/>
    </xf>
    <xf numFmtId="164" fontId="6" fillId="0" borderId="16" xfId="0" applyFont="true" applyBorder="true" applyAlignment="true" applyProtection="false">
      <alignment horizontal="center" vertical="bottom" textRotation="0" wrapText="false" indent="0" shrinkToFit="false"/>
      <protection locked="true" hidden="false"/>
    </xf>
    <xf numFmtId="164" fontId="6" fillId="0" borderId="17" xfId="0" applyFont="true" applyBorder="true" applyAlignment="true" applyProtection="false">
      <alignment horizontal="center" vertical="bottom" textRotation="0" wrapText="false" indent="0" shrinkToFit="false"/>
      <protection locked="true" hidden="false"/>
    </xf>
    <xf numFmtId="164" fontId="6" fillId="12" borderId="10" xfId="0" applyFont="true" applyBorder="true" applyAlignment="false" applyProtection="false">
      <alignment horizontal="general" vertical="bottom" textRotation="0" wrapText="false" indent="0" shrinkToFit="false"/>
      <protection locked="true" hidden="false"/>
    </xf>
    <xf numFmtId="164" fontId="6" fillId="13" borderId="13" xfId="0" applyFont="true" applyBorder="true" applyAlignment="false" applyProtection="false">
      <alignment horizontal="general" vertical="bottom" textRotation="0" wrapText="false" indent="0" shrinkToFit="false"/>
      <protection locked="true" hidden="false"/>
    </xf>
    <xf numFmtId="164" fontId="6" fillId="14" borderId="13" xfId="0" applyFont="true" applyBorder="true" applyAlignment="false" applyProtection="false">
      <alignment horizontal="general" vertical="bottom" textRotation="0" wrapText="false" indent="0" shrinkToFit="false"/>
      <protection locked="true" hidden="false"/>
    </xf>
    <xf numFmtId="164" fontId="6" fillId="15" borderId="13" xfId="0" applyFont="true" applyBorder="true" applyAlignment="false" applyProtection="false">
      <alignment horizontal="general" vertical="bottom" textRotation="0" wrapText="false" indent="0" shrinkToFit="false"/>
      <protection locked="true" hidden="false"/>
    </xf>
    <xf numFmtId="164" fontId="6" fillId="16" borderId="15" xfId="0" applyFont="true" applyBorder="true" applyAlignment="false" applyProtection="false">
      <alignment horizontal="general" vertical="bottom" textRotation="0" wrapText="false" indent="0" shrinkToFit="false"/>
      <protection locked="true" hidden="false"/>
    </xf>
    <xf numFmtId="164" fontId="6" fillId="17" borderId="10" xfId="0" applyFont="true" applyBorder="true" applyAlignment="false" applyProtection="false">
      <alignment horizontal="general" vertical="bottom" textRotation="0" wrapText="false" indent="0" shrinkToFit="false"/>
      <protection locked="true" hidden="false"/>
    </xf>
    <xf numFmtId="164" fontId="6" fillId="18" borderId="13" xfId="0" applyFont="true" applyBorder="true" applyAlignment="false" applyProtection="false">
      <alignment horizontal="general" vertical="bottom" textRotation="0" wrapText="false" indent="0" shrinkToFit="false"/>
      <protection locked="true" hidden="false"/>
    </xf>
    <xf numFmtId="164" fontId="6" fillId="19" borderId="13" xfId="0" applyFont="true" applyBorder="true" applyAlignment="false" applyProtection="false">
      <alignment horizontal="general" vertical="bottom" textRotation="0" wrapText="false" indent="0" shrinkToFit="false"/>
      <protection locked="true" hidden="false"/>
    </xf>
    <xf numFmtId="164" fontId="6" fillId="20" borderId="13" xfId="0" applyFont="true" applyBorder="true" applyAlignment="false" applyProtection="false">
      <alignment horizontal="general" vertical="bottom" textRotation="0" wrapText="false" indent="0" shrinkToFit="false"/>
      <protection locked="true" hidden="false"/>
    </xf>
    <xf numFmtId="164" fontId="6" fillId="21" borderId="15" xfId="0" applyFont="true" applyBorder="true" applyAlignment="false" applyProtection="false">
      <alignment horizontal="general" vertical="bottom" textRotation="0" wrapText="false" indent="0" shrinkToFit="false"/>
      <protection locked="true" hidden="false"/>
    </xf>
    <xf numFmtId="164" fontId="6" fillId="22" borderId="10" xfId="0" applyFont="true" applyBorder="true" applyAlignment="false" applyProtection="false">
      <alignment horizontal="general" vertical="bottom" textRotation="0" wrapText="false" indent="0" shrinkToFit="false"/>
      <protection locked="true" hidden="false"/>
    </xf>
    <xf numFmtId="164" fontId="6" fillId="23" borderId="13" xfId="0" applyFont="true" applyBorder="true" applyAlignment="false" applyProtection="false">
      <alignment horizontal="general" vertical="bottom" textRotation="0" wrapText="false" indent="0" shrinkToFit="false"/>
      <protection locked="true" hidden="false"/>
    </xf>
    <xf numFmtId="164" fontId="6" fillId="24" borderId="13" xfId="0" applyFont="true" applyBorder="true" applyAlignment="false" applyProtection="false">
      <alignment horizontal="general" vertical="bottom" textRotation="0" wrapText="false" indent="0" shrinkToFit="false"/>
      <protection locked="true" hidden="false"/>
    </xf>
    <xf numFmtId="164" fontId="6" fillId="25" borderId="13" xfId="0" applyFont="true" applyBorder="true" applyAlignment="false" applyProtection="false">
      <alignment horizontal="general" vertical="bottom" textRotation="0" wrapText="false" indent="0" shrinkToFit="false"/>
      <protection locked="true" hidden="false"/>
    </xf>
    <xf numFmtId="164" fontId="6" fillId="26" borderId="15" xfId="0" applyFont="true" applyBorder="true" applyAlignment="false" applyProtection="false">
      <alignment horizontal="general" vertical="bottom" textRotation="0" wrapText="false" indent="0" shrinkToFit="false"/>
      <protection locked="true" hidden="false"/>
    </xf>
    <xf numFmtId="164" fontId="6" fillId="27" borderId="10" xfId="0" applyFont="true" applyBorder="true" applyAlignment="false" applyProtection="false">
      <alignment horizontal="general" vertical="bottom" textRotation="0" wrapText="false" indent="0" shrinkToFit="false"/>
      <protection locked="true" hidden="false"/>
    </xf>
    <xf numFmtId="164" fontId="6" fillId="28" borderId="13" xfId="0" applyFont="true" applyBorder="true" applyAlignment="false" applyProtection="false">
      <alignment horizontal="general" vertical="bottom" textRotation="0" wrapText="false" indent="0" shrinkToFit="false"/>
      <protection locked="true" hidden="false"/>
    </xf>
    <xf numFmtId="164" fontId="6" fillId="29" borderId="13" xfId="0" applyFont="true" applyBorder="true" applyAlignment="false" applyProtection="false">
      <alignment horizontal="general" vertical="bottom" textRotation="0" wrapText="false" indent="0" shrinkToFit="false"/>
      <protection locked="true" hidden="false"/>
    </xf>
    <xf numFmtId="164" fontId="6" fillId="30" borderId="13" xfId="0" applyFont="true" applyBorder="true" applyAlignment="false" applyProtection="false">
      <alignment horizontal="general" vertical="bottom" textRotation="0" wrapText="false" indent="0" shrinkToFit="false"/>
      <protection locked="true" hidden="false"/>
    </xf>
    <xf numFmtId="164" fontId="6" fillId="31" borderId="15" xfId="0" applyFont="true" applyBorder="true" applyAlignment="false" applyProtection="fals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header_style" xfId="20"/>
    <cellStyle name="value_style" xfId="21"/>
  </cellStyles>
  <dxfs count="3">
    <dxf>
      <font>
        <color rgb="FF8C8C8C"/>
      </font>
      <fill>
        <patternFill>
          <bgColor rgb="FFD6D6D6"/>
        </patternFill>
      </fill>
    </dxf>
    <dxf>
      <font>
        <b val="1"/>
        <color rgb="FF006100"/>
      </font>
      <fill>
        <patternFill>
          <bgColor rgb="FFC6EFCE"/>
        </patternFill>
      </fill>
    </dxf>
    <dxf>
      <font>
        <b val="1"/>
        <color rgb="FF9C0006"/>
      </font>
      <fill>
        <patternFill>
          <bgColor rgb="FFFFC7CE"/>
        </patternFill>
      </fill>
    </dxf>
  </dxfs>
  <colors>
    <indexedColors>
      <rgbColor rgb="FF000000"/>
      <rgbColor rgb="FFFFFFFF"/>
      <rgbColor rgb="FFFF0000"/>
      <rgbColor rgb="FF00FF00"/>
      <rgbColor rgb="FF0000FF"/>
      <rgbColor rgb="FFF6EFE8"/>
      <rgbColor rgb="FFFF00FF"/>
      <rgbColor rgb="FF00FFFF"/>
      <rgbColor rgb="FF9C0006"/>
      <rgbColor rgb="FF006100"/>
      <rgbColor rgb="FF0F000C"/>
      <rgbColor rgb="FF778A35"/>
      <rgbColor rgb="FF800080"/>
      <rgbColor rgb="FF008080"/>
      <rgbColor rgb="FFB8B39A"/>
      <rgbColor rgb="FF5C8F8D"/>
      <rgbColor rgb="FFA86D9D"/>
      <rgbColor rgb="FF68285B"/>
      <rgbColor rgb="FFFBF9ED"/>
      <rgbColor rgb="FFE3F4F4"/>
      <rgbColor rgb="FF4D0E41"/>
      <rgbColor rgb="FFFF8080"/>
      <rgbColor rgb="FF0066CC"/>
      <rgbColor rgb="FFD6D6D6"/>
      <rgbColor rgb="FF000D0C"/>
      <rgbColor rgb="FFFF00FF"/>
      <rgbColor rgb="FFF5E5F2"/>
      <rgbColor rgb="FF00FFFF"/>
      <rgbColor rgb="FF800080"/>
      <rgbColor rgb="FF150900"/>
      <rgbColor rgb="FF008080"/>
      <rgbColor rgb="FF0000FF"/>
      <rgbColor rgb="FF00CCFF"/>
      <rgbColor rgb="FFF3F6E8"/>
      <rgbColor rgb="FFC6EFCE"/>
      <rgbColor rgb="FFFFEE98"/>
      <rgbColor rgb="FFDDDDDD"/>
      <rgbColor rgb="FFFFC7CE"/>
      <rgbColor rgb="FFE4E4DC"/>
      <rgbColor rgb="FFEBBD98"/>
      <rgbColor rgb="FF3366FF"/>
      <rgbColor rgb="FF33CCCC"/>
      <rgbColor rgb="FFCFE091"/>
      <rgbColor rgb="FFD9C148"/>
      <rgbColor rgb="FFB89E1D"/>
      <rgbColor rgb="FFFF6600"/>
      <rgbColor rgb="FF5E6157"/>
      <rgbColor rgb="FF8C8C8C"/>
      <rgbColor rgb="FF0C413F"/>
      <rgbColor rgb="FF546713"/>
      <rgbColor rgb="FF181C0B"/>
      <rgbColor rgb="FF2E2600"/>
      <rgbColor rgb="FF6C3B13"/>
      <rgbColor rgb="FF905F37"/>
      <rgbColor rgb="FF225856"/>
      <rgbColor rgb="FF31352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19080</xdr:colOff>
      <xdr:row>32</xdr:row>
      <xdr:rowOff>114120</xdr:rowOff>
    </xdr:from>
    <xdr:to>
      <xdr:col>9</xdr:col>
      <xdr:colOff>246240</xdr:colOff>
      <xdr:row>39</xdr:row>
      <xdr:rowOff>66240</xdr:rowOff>
    </xdr:to>
    <xdr:sp>
      <xdr:nvSpPr>
        <xdr:cNvPr id="0" name="Rechteck 4"/>
        <xdr:cNvSpPr/>
      </xdr:nvSpPr>
      <xdr:spPr>
        <a:xfrm>
          <a:off x="633240" y="6676920"/>
          <a:ext cx="7031880" cy="1285560"/>
        </a:xfrm>
        <a:prstGeom prst="rect">
          <a:avLst/>
        </a:prstGeom>
        <a:noFill/>
        <a:ln w="12700">
          <a:solidFill>
            <a:srgbClr val="778a35"/>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defTabSz="914400">
            <a:lnSpc>
              <a:spcPct val="100000"/>
            </a:lnSpc>
            <a:tabLst>
              <a:tab algn="l" pos="0"/>
            </a:tabLst>
          </a:pPr>
          <a:r>
            <a:rPr b="0" i="1" lang="de-DE" sz="1100" spc="-1" strike="noStrike">
              <a:solidFill>
                <a:srgbClr val="000000"/>
              </a:solidFill>
              <a:latin typeface="Calibri"/>
            </a:rPr>
            <a:t>Disclaimer: Die Inhalte des Tools wurden mit größter Sorgfalt erstellt. Fehler können dennoch nicht gänzlich ausgeschlossen werden. Für die Richtigkeit, Vollständigkeit, Aktualität oder Qualität der bereitgestellten Informationen und für weiterführende Links kann keine Gewähr übernommen werden. Haftungsansprüche gegen Personen, die Inhalte zu diesem Tool bereit gestellt haben, sind daher ausgeschlossen.</a:t>
          </a:r>
          <a:endParaRPr b="0" lang="en-US" sz="1100" spc="-1" strike="noStrike">
            <a:latin typeface="Times New Roman"/>
          </a:endParaRPr>
        </a:p>
        <a:p>
          <a:pPr defTabSz="914400">
            <a:lnSpc>
              <a:spcPct val="100000"/>
            </a:lnSpc>
            <a:tabLst>
              <a:tab algn="l" pos="0"/>
            </a:tabLst>
          </a:pPr>
          <a:r>
            <a:rPr b="0" i="1" lang="de-DE" sz="1100" spc="-1" strike="noStrike">
              <a:solidFill>
                <a:srgbClr val="000000"/>
              </a:solidFill>
              <a:latin typeface="Calibri"/>
            </a:rPr>
            <a:t>Wir behalten uns ausdrücklich vor, das Tool ohne gesonderte Ankündigung zu verändern, zu ergänzen, zu löschen oder die Veröffentlichung zeitweise oder endgültig einzustellen und übernehmen daher keine Gewähr und Haftung für die dauerhafte Verfügbarkeit der dargebotenen Informationen.</a:t>
          </a:r>
          <a:endParaRPr b="0" lang="en-US" sz="1100" spc="-1" strike="noStrike">
            <a:latin typeface="Times New Roman"/>
          </a:endParaRPr>
        </a:p>
      </xdr:txBody>
    </xdr:sp>
    <xdr:clientData/>
  </xdr:twoCellAnchor>
  <xdr:twoCellAnchor editAs="oneCell">
    <xdr:from>
      <xdr:col>0</xdr:col>
      <xdr:colOff>476280</xdr:colOff>
      <xdr:row>6</xdr:row>
      <xdr:rowOff>123840</xdr:rowOff>
    </xdr:from>
    <xdr:to>
      <xdr:col>4</xdr:col>
      <xdr:colOff>456840</xdr:colOff>
      <xdr:row>9</xdr:row>
      <xdr:rowOff>176760</xdr:rowOff>
    </xdr:to>
    <xdr:pic>
      <xdr:nvPicPr>
        <xdr:cNvPr id="1" name="Grafik 5" descr=""/>
        <xdr:cNvPicPr/>
      </xdr:nvPicPr>
      <xdr:blipFill>
        <a:blip r:embed="rId1"/>
        <a:stretch/>
      </xdr:blipFill>
      <xdr:spPr>
        <a:xfrm>
          <a:off x="476280" y="1733400"/>
          <a:ext cx="3061080" cy="6246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service@erneuerbaresgas.at"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eur-lex.europa.eu/legal-content/DE/TXT/?uri=CELEX:02018L2001-20240716" TargetMode="Externa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1"/>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E25" activeCellId="0" sqref="E25"/>
    </sheetView>
  </sheetViews>
  <sheetFormatPr defaultColWidth="11.42578125" defaultRowHeight="15" zeroHeight="false" outlineLevelRow="0" outlineLevelCol="0"/>
  <cols>
    <col collapsed="false" customWidth="true" hidden="false" outlineLevel="0" max="1" min="1" style="1" width="8.71"/>
    <col collapsed="false" customWidth="true" hidden="false" outlineLevel="0" max="2" min="2" style="1" width="12.15"/>
    <col collapsed="false" customWidth="false" hidden="false" outlineLevel="0" max="8" min="3" style="1" width="11.43"/>
    <col collapsed="false" customWidth="true" hidden="false" outlineLevel="0" max="9" min="9" style="1" width="15.85"/>
    <col collapsed="false" customWidth="false" hidden="false" outlineLevel="0" max="13" min="10" style="1" width="11.43"/>
    <col collapsed="false" customWidth="true" hidden="false" outlineLevel="0" max="14" min="14" style="1" width="11.57"/>
    <col collapsed="false" customWidth="false" hidden="false" outlineLevel="0" max="16384" min="15" style="1" width="11.43"/>
  </cols>
  <sheetData>
    <row r="1" customFormat="false" ht="30" hidden="false" customHeight="true" outlineLevel="0" collapsed="false">
      <c r="A1" s="2"/>
      <c r="B1" s="2"/>
      <c r="C1" s="2"/>
      <c r="D1" s="2"/>
      <c r="E1" s="2"/>
      <c r="F1" s="2"/>
      <c r="G1" s="2"/>
      <c r="H1" s="2"/>
      <c r="I1" s="2"/>
      <c r="J1" s="2"/>
      <c r="K1" s="2"/>
      <c r="L1" s="2"/>
      <c r="M1" s="2"/>
    </row>
    <row r="2" customFormat="false" ht="36" hidden="false" customHeight="true" outlineLevel="0" collapsed="false">
      <c r="A2" s="2"/>
      <c r="B2" s="3" t="s">
        <v>0</v>
      </c>
      <c r="C2" s="4"/>
      <c r="D2" s="4"/>
      <c r="E2" s="4"/>
      <c r="F2" s="4"/>
      <c r="G2" s="4"/>
      <c r="H2" s="4"/>
      <c r="I2" s="4"/>
      <c r="J2" s="3"/>
      <c r="K2" s="4"/>
      <c r="L2" s="2"/>
    </row>
    <row r="3" customFormat="false" ht="15.75" hidden="false" customHeight="true" outlineLevel="0" collapsed="false">
      <c r="A3" s="2"/>
      <c r="B3" s="5"/>
      <c r="C3" s="2"/>
      <c r="D3" s="2"/>
      <c r="E3" s="2"/>
      <c r="F3" s="2"/>
      <c r="G3" s="2"/>
      <c r="H3" s="2"/>
      <c r="I3" s="2"/>
      <c r="J3" s="2"/>
      <c r="K3" s="2"/>
      <c r="L3" s="6"/>
      <c r="M3" s="7"/>
    </row>
    <row r="4" customFormat="false" ht="15" hidden="false" customHeight="true" outlineLevel="0" collapsed="false">
      <c r="A4" s="2"/>
      <c r="B4" s="8" t="s">
        <v>1</v>
      </c>
      <c r="C4" s="8"/>
      <c r="D4" s="8"/>
      <c r="E4" s="8"/>
      <c r="F4" s="8"/>
      <c r="G4" s="8"/>
      <c r="H4" s="8"/>
      <c r="I4" s="8"/>
      <c r="J4" s="2"/>
      <c r="K4" s="2"/>
      <c r="L4" s="6"/>
      <c r="M4" s="6"/>
    </row>
    <row r="5" customFormat="false" ht="15" hidden="false" customHeight="true" outlineLevel="0" collapsed="false">
      <c r="A5" s="2"/>
      <c r="B5" s="9" t="s">
        <v>2</v>
      </c>
      <c r="C5" s="9"/>
      <c r="D5" s="9"/>
      <c r="E5" s="9"/>
      <c r="F5" s="9"/>
      <c r="G5" s="9"/>
      <c r="H5" s="9"/>
      <c r="I5" s="9"/>
      <c r="J5" s="2"/>
      <c r="L5" s="2"/>
      <c r="M5" s="2"/>
    </row>
    <row r="6" customFormat="false" ht="15" hidden="false" customHeight="false" outlineLevel="0" collapsed="false">
      <c r="A6" s="2"/>
      <c r="B6" s="9"/>
      <c r="C6" s="9"/>
      <c r="D6" s="9"/>
      <c r="E6" s="9"/>
      <c r="F6" s="9"/>
      <c r="G6" s="9"/>
      <c r="H6" s="9"/>
      <c r="I6" s="9"/>
      <c r="J6" s="2"/>
      <c r="K6" s="2"/>
      <c r="L6" s="2"/>
    </row>
    <row r="7" customFormat="false" ht="15" hidden="false" customHeight="false" outlineLevel="0" collapsed="false">
      <c r="A7" s="2"/>
      <c r="B7" s="6"/>
      <c r="C7" s="2"/>
      <c r="D7" s="2"/>
      <c r="E7" s="2"/>
      <c r="F7" s="2"/>
      <c r="G7" s="2"/>
      <c r="H7" s="2"/>
      <c r="I7" s="2"/>
      <c r="J7" s="2"/>
      <c r="K7" s="2"/>
      <c r="L7" s="2"/>
    </row>
    <row r="8" customFormat="false" ht="15" hidden="false" customHeight="false" outlineLevel="0" collapsed="false">
      <c r="A8" s="2"/>
      <c r="B8" s="6"/>
      <c r="C8" s="2"/>
      <c r="D8" s="2"/>
      <c r="E8" s="2"/>
      <c r="F8" s="2"/>
      <c r="G8" s="2"/>
      <c r="H8" s="2"/>
      <c r="I8" s="2"/>
      <c r="L8" s="2"/>
    </row>
    <row r="9" customFormat="false" ht="15" hidden="false" customHeight="false" outlineLevel="0" collapsed="false">
      <c r="A9" s="2"/>
      <c r="B9" s="6"/>
      <c r="C9" s="2"/>
      <c r="D9" s="2"/>
      <c r="E9" s="2"/>
      <c r="F9" s="2"/>
      <c r="G9" s="2"/>
      <c r="H9" s="2"/>
      <c r="I9" s="2"/>
      <c r="L9" s="2"/>
    </row>
    <row r="10" customFormat="false" ht="15" hidden="false" customHeight="false" outlineLevel="0" collapsed="false">
      <c r="A10" s="2"/>
      <c r="B10" s="6"/>
      <c r="C10" s="2"/>
      <c r="D10" s="2"/>
      <c r="E10" s="2"/>
      <c r="F10" s="2"/>
      <c r="G10" s="2"/>
      <c r="H10" s="2"/>
      <c r="I10" s="2"/>
    </row>
    <row r="11" customFormat="false" ht="15" hidden="false" customHeight="false" outlineLevel="0" collapsed="false">
      <c r="A11" s="2"/>
      <c r="B11" s="6"/>
      <c r="C11" s="2"/>
      <c r="D11" s="2"/>
      <c r="E11" s="2"/>
      <c r="F11" s="2"/>
      <c r="G11" s="2"/>
      <c r="H11" s="2"/>
      <c r="I11" s="2"/>
      <c r="J11" s="2"/>
      <c r="K11" s="2"/>
      <c r="L11" s="2"/>
    </row>
    <row r="12" customFormat="false" ht="15" hidden="false" customHeight="false" outlineLevel="0" collapsed="false">
      <c r="A12" s="2"/>
      <c r="J12" s="2"/>
      <c r="K12" s="10"/>
      <c r="L12" s="2"/>
    </row>
    <row r="13" customFormat="false" ht="15" hidden="false" customHeight="true" outlineLevel="0" collapsed="false">
      <c r="A13" s="2"/>
      <c r="B13" s="11" t="s">
        <v>3</v>
      </c>
      <c r="C13" s="11"/>
      <c r="D13" s="11"/>
      <c r="E13" s="11"/>
      <c r="F13" s="11"/>
      <c r="G13" s="11"/>
      <c r="H13" s="11"/>
      <c r="I13" s="11"/>
      <c r="J13" s="2"/>
      <c r="K13" s="2"/>
      <c r="L13" s="2"/>
    </row>
    <row r="14" customFormat="false" ht="15" hidden="false" customHeight="true" outlineLevel="0" collapsed="false">
      <c r="A14" s="2"/>
      <c r="B14" s="9" t="s">
        <v>4</v>
      </c>
      <c r="C14" s="9"/>
      <c r="D14" s="9"/>
      <c r="E14" s="9"/>
      <c r="F14" s="9"/>
      <c r="G14" s="9"/>
      <c r="H14" s="9"/>
      <c r="I14" s="9"/>
      <c r="J14" s="2"/>
      <c r="K14" s="2"/>
      <c r="L14" s="2"/>
    </row>
    <row r="15" customFormat="false" ht="15" hidden="false" customHeight="false" outlineLevel="0" collapsed="false">
      <c r="A15" s="2"/>
      <c r="B15" s="9"/>
      <c r="C15" s="9"/>
      <c r="D15" s="9"/>
      <c r="E15" s="9"/>
      <c r="F15" s="9"/>
      <c r="G15" s="9"/>
      <c r="H15" s="9"/>
      <c r="I15" s="9"/>
      <c r="J15" s="2"/>
      <c r="K15" s="2"/>
      <c r="L15" s="2"/>
    </row>
    <row r="16" customFormat="false" ht="15" hidden="false" customHeight="false" outlineLevel="0" collapsed="false">
      <c r="A16" s="2"/>
      <c r="B16" s="9"/>
      <c r="C16" s="9"/>
      <c r="D16" s="9"/>
      <c r="E16" s="9"/>
      <c r="F16" s="9"/>
      <c r="G16" s="9"/>
      <c r="H16" s="9"/>
      <c r="I16" s="9"/>
      <c r="J16" s="2"/>
      <c r="K16" s="2"/>
      <c r="L16" s="2"/>
    </row>
    <row r="17" customFormat="false" ht="15" hidden="false" customHeight="false" outlineLevel="0" collapsed="false">
      <c r="A17" s="2"/>
      <c r="B17" s="9"/>
      <c r="C17" s="9"/>
      <c r="D17" s="9"/>
      <c r="E17" s="9"/>
      <c r="F17" s="9"/>
      <c r="G17" s="9"/>
      <c r="H17" s="9"/>
      <c r="I17" s="9"/>
      <c r="J17" s="2"/>
      <c r="K17" s="2"/>
      <c r="L17" s="2"/>
    </row>
    <row r="18" customFormat="false" ht="15" hidden="false" customHeight="false" outlineLevel="0" collapsed="false">
      <c r="A18" s="2"/>
      <c r="B18" s="9"/>
      <c r="C18" s="9"/>
      <c r="D18" s="9"/>
      <c r="E18" s="9"/>
      <c r="F18" s="9"/>
      <c r="G18" s="9"/>
      <c r="H18" s="9"/>
      <c r="I18" s="9"/>
      <c r="J18" s="2"/>
      <c r="K18" s="2"/>
      <c r="L18" s="2"/>
    </row>
    <row r="19" customFormat="false" ht="15" hidden="false" customHeight="true" outlineLevel="0" collapsed="false">
      <c r="A19" s="2"/>
      <c r="B19" s="11" t="s">
        <v>5</v>
      </c>
      <c r="C19" s="11"/>
      <c r="D19" s="11"/>
      <c r="E19" s="11"/>
      <c r="F19" s="11"/>
      <c r="G19" s="11"/>
      <c r="H19" s="11"/>
      <c r="I19" s="11"/>
      <c r="J19" s="2"/>
      <c r="K19" s="2"/>
      <c r="L19" s="2"/>
    </row>
    <row r="20" customFormat="false" ht="15" hidden="false" customHeight="true" outlineLevel="0" collapsed="false">
      <c r="A20" s="2"/>
      <c r="B20" s="9" t="s">
        <v>6</v>
      </c>
      <c r="C20" s="9"/>
      <c r="D20" s="9"/>
      <c r="E20" s="9"/>
      <c r="F20" s="9"/>
      <c r="G20" s="9"/>
      <c r="H20" s="9"/>
      <c r="I20" s="9"/>
      <c r="J20" s="2"/>
      <c r="K20" s="2"/>
      <c r="L20" s="2"/>
    </row>
    <row r="21" customFormat="false" ht="15" hidden="false" customHeight="false" outlineLevel="0" collapsed="false">
      <c r="A21" s="2"/>
      <c r="B21" s="9"/>
      <c r="C21" s="9"/>
      <c r="D21" s="9"/>
      <c r="E21" s="9"/>
      <c r="F21" s="9"/>
      <c r="G21" s="9"/>
      <c r="H21" s="9"/>
      <c r="I21" s="9"/>
      <c r="K21" s="2"/>
      <c r="L21" s="2"/>
      <c r="M21" s="2"/>
    </row>
    <row r="22" customFormat="false" ht="15" hidden="false" customHeight="false" outlineLevel="0" collapsed="false">
      <c r="B22" s="9"/>
      <c r="C22" s="9"/>
      <c r="D22" s="9"/>
      <c r="E22" s="9"/>
      <c r="F22" s="9"/>
      <c r="G22" s="9"/>
      <c r="H22" s="9"/>
      <c r="I22" s="9"/>
    </row>
    <row r="23" customFormat="false" ht="15" hidden="false" customHeight="false" outlineLevel="0" collapsed="false">
      <c r="B23" s="9"/>
      <c r="C23" s="9"/>
      <c r="D23" s="9"/>
      <c r="E23" s="9"/>
      <c r="F23" s="9"/>
      <c r="G23" s="9"/>
      <c r="H23" s="9"/>
      <c r="I23" s="9"/>
    </row>
    <row r="24" customFormat="false" ht="15" hidden="false" customHeight="false" outlineLevel="0" collapsed="false">
      <c r="B24" s="9"/>
      <c r="C24" s="9"/>
      <c r="D24" s="9"/>
      <c r="E24" s="9"/>
      <c r="F24" s="9"/>
      <c r="G24" s="9"/>
      <c r="H24" s="9"/>
      <c r="I24" s="9"/>
    </row>
    <row r="27" customFormat="false" ht="15" hidden="false" customHeight="false" outlineLevel="0" collapsed="false">
      <c r="B27" s="5" t="s">
        <v>7</v>
      </c>
      <c r="C27" s="2"/>
      <c r="D27" s="2"/>
      <c r="E27" s="2"/>
      <c r="F27" s="2"/>
      <c r="G27" s="2"/>
      <c r="H27" s="2"/>
      <c r="I27" s="2"/>
      <c r="J27" s="2"/>
    </row>
    <row r="28" customFormat="false" ht="15" hidden="false" customHeight="false" outlineLevel="0" collapsed="false">
      <c r="B28" s="2" t="s">
        <v>8</v>
      </c>
    </row>
    <row r="29" customFormat="false" ht="15" hidden="false" customHeight="false" outlineLevel="0" collapsed="false">
      <c r="B29" s="12" t="s">
        <v>9</v>
      </c>
      <c r="F29" s="12"/>
    </row>
    <row r="30" customFormat="false" ht="15" hidden="false" customHeight="false" outlineLevel="0" collapsed="false">
      <c r="B30" s="13" t="s">
        <v>10</v>
      </c>
    </row>
    <row r="31" customFormat="false" ht="15" hidden="false" customHeight="false" outlineLevel="0" collapsed="false">
      <c r="B31" s="12" t="s">
        <v>11</v>
      </c>
      <c r="F31" s="10"/>
    </row>
  </sheetData>
  <sheetProtection sheet="true" objects="true" scenarios="true"/>
  <mergeCells count="6">
    <mergeCell ref="B4:I4"/>
    <mergeCell ref="B5:I6"/>
    <mergeCell ref="B13:I13"/>
    <mergeCell ref="B14:I18"/>
    <mergeCell ref="B19:I19"/>
    <mergeCell ref="B20:I24"/>
  </mergeCells>
  <hyperlinks>
    <hyperlink ref="B31" r:id="rId1" display="service@erneuerbaresgas.at"/>
  </hyperlink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7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14" width="3"/>
    <col collapsed="false" customWidth="true" hidden="false" outlineLevel="0" max="4" min="4" style="14" width="66"/>
    <col collapsed="false" customWidth="true" hidden="false" outlineLevel="0" max="5" min="5" style="14" width="26"/>
    <col collapsed="false" customWidth="true" hidden="false" outlineLevel="0" max="8" min="6" style="14" width="22"/>
    <col collapsed="false" customWidth="true" hidden="false" outlineLevel="0" max="9" min="9" style="14" width="24"/>
    <col collapsed="false" customWidth="true" hidden="false" outlineLevel="0" max="10" min="10" style="14" width="3"/>
  </cols>
  <sheetData>
    <row r="2" customFormat="false" ht="36" hidden="false" customHeight="true" outlineLevel="0" collapsed="false">
      <c r="B2" s="15" t="s">
        <v>0</v>
      </c>
      <c r="C2" s="16"/>
      <c r="D2" s="16"/>
      <c r="E2" s="16"/>
      <c r="F2" s="16"/>
      <c r="G2" s="16"/>
      <c r="H2" s="16"/>
      <c r="I2" s="16"/>
      <c r="J2" s="16"/>
    </row>
    <row r="3" customFormat="false" ht="15" hidden="false" customHeight="false" outlineLevel="0" collapsed="false">
      <c r="D3" s="17" t="s">
        <v>12</v>
      </c>
    </row>
    <row r="4" customFormat="false" ht="15" hidden="false" customHeight="false" outlineLevel="0" collapsed="false">
      <c r="C4" s="18"/>
      <c r="D4" s="18"/>
      <c r="E4" s="18"/>
      <c r="F4" s="18"/>
      <c r="G4" s="18"/>
      <c r="H4" s="18"/>
      <c r="I4" s="18"/>
      <c r="J4" s="18"/>
    </row>
    <row r="5" customFormat="false" ht="25.5" hidden="false" customHeight="true" outlineLevel="0" collapsed="false">
      <c r="C5" s="18"/>
      <c r="D5" s="19" t="s">
        <v>13</v>
      </c>
      <c r="E5" s="20" t="s">
        <v>14</v>
      </c>
      <c r="F5" s="21" t="s">
        <v>15</v>
      </c>
      <c r="G5" s="22" t="s">
        <v>16</v>
      </c>
      <c r="H5" s="23" t="s">
        <v>17</v>
      </c>
      <c r="I5" s="23"/>
      <c r="J5" s="18"/>
    </row>
    <row r="6" customFormat="false" ht="15" hidden="false" customHeight="false" outlineLevel="0" collapsed="false">
      <c r="C6" s="18"/>
      <c r="D6" s="18"/>
      <c r="E6" s="18"/>
      <c r="F6" s="18"/>
      <c r="G6" s="18"/>
      <c r="H6" s="18"/>
      <c r="I6" s="18"/>
      <c r="J6" s="18"/>
    </row>
    <row r="7" customFormat="false" ht="16.15" hidden="false" customHeight="false" outlineLevel="0" collapsed="false">
      <c r="C7" s="18"/>
      <c r="D7" s="24" t="s">
        <v>18</v>
      </c>
      <c r="E7" s="25"/>
      <c r="F7" s="25"/>
      <c r="G7" s="25"/>
      <c r="H7" s="25"/>
      <c r="I7" s="25"/>
      <c r="J7" s="18"/>
    </row>
    <row r="8" customFormat="false" ht="45" hidden="false" customHeight="true" outlineLevel="0" collapsed="false">
      <c r="C8" s="18"/>
      <c r="D8" s="26" t="s">
        <v>19</v>
      </c>
      <c r="E8" s="27" t="s">
        <v>20</v>
      </c>
      <c r="F8" s="27" t="s">
        <v>21</v>
      </c>
      <c r="G8" s="27" t="s">
        <v>22</v>
      </c>
      <c r="H8" s="27" t="s">
        <v>23</v>
      </c>
      <c r="I8" s="27" t="s">
        <v>24</v>
      </c>
      <c r="J8" s="18"/>
    </row>
    <row r="9" customFormat="false" ht="15" hidden="false" customHeight="false" outlineLevel="0" collapsed="false">
      <c r="C9" s="18"/>
      <c r="D9" s="28" t="s">
        <v>25</v>
      </c>
      <c r="E9" s="29" t="n">
        <v>8000</v>
      </c>
      <c r="F9" s="30" t="n">
        <v>90</v>
      </c>
      <c r="G9" s="31" t="n">
        <f aca="false">REDIII!D24*100</f>
        <v>90</v>
      </c>
      <c r="H9" s="32" t="n">
        <f aca="false">IF(Berechnung!$C$12&gt;0,Berechnung!K6,"–")</f>
        <v>0.324675324675325</v>
      </c>
      <c r="I9" s="31" t="n">
        <f aca="false">IFERROR(Berechnung!D6,"–")</f>
        <v>-100</v>
      </c>
      <c r="J9" s="18"/>
    </row>
    <row r="10" customFormat="false" ht="15" hidden="false" customHeight="false" outlineLevel="0" collapsed="false">
      <c r="C10" s="18"/>
      <c r="D10" s="28" t="s">
        <v>26</v>
      </c>
      <c r="E10" s="29" t="n">
        <v>2000</v>
      </c>
      <c r="F10" s="30" t="n">
        <v>65</v>
      </c>
      <c r="G10" s="31" t="n">
        <f aca="false">REDIII!D25*100</f>
        <v>65</v>
      </c>
      <c r="H10" s="32" t="n">
        <f aca="false">IF(Berechnung!$C$12&gt;0,Berechnung!K7,"–")</f>
        <v>0.675324675324675</v>
      </c>
      <c r="I10" s="31" t="n">
        <f aca="false">IFERROR(Berechnung!D7,"–")</f>
        <v>30</v>
      </c>
      <c r="J10" s="18"/>
    </row>
    <row r="11" customFormat="false" ht="15" hidden="false" customHeight="false" outlineLevel="0" collapsed="false">
      <c r="C11" s="18"/>
      <c r="D11" s="28" t="s">
        <v>27</v>
      </c>
      <c r="E11" s="29" t="n">
        <v>0</v>
      </c>
      <c r="F11" s="30" t="n">
        <v>76</v>
      </c>
      <c r="G11" s="31" t="n">
        <f aca="false">REDIII!D26*100</f>
        <v>76</v>
      </c>
      <c r="H11" s="32" t="n">
        <f aca="false">IF(Berechnung!$C$12&gt;0,Berechnung!K8,"–")</f>
        <v>0</v>
      </c>
      <c r="I11" s="31" t="n">
        <f aca="false">IFERROR(Berechnung!D8,"–")</f>
        <v>14</v>
      </c>
      <c r="J11" s="18"/>
    </row>
    <row r="12" customFormat="false" ht="15" hidden="false" customHeight="false" outlineLevel="0" collapsed="false">
      <c r="C12" s="18"/>
      <c r="D12" s="33" t="s">
        <v>28</v>
      </c>
      <c r="E12" s="34" t="n">
        <f aca="false">SUM(E9:E11)</f>
        <v>10000</v>
      </c>
      <c r="F12" s="18"/>
      <c r="G12" s="18"/>
      <c r="H12" s="35" t="n">
        <f aca="false">IF(Berechnung!$C$12&gt;0,SUM(H9:H11),"–")</f>
        <v>1</v>
      </c>
      <c r="I12" s="18"/>
      <c r="J12" s="18"/>
    </row>
    <row r="13" customFormat="false" ht="18" hidden="false" customHeight="true" outlineLevel="0" collapsed="false">
      <c r="C13" s="18"/>
      <c r="D13" s="36" t="s">
        <v>29</v>
      </c>
      <c r="E13" s="36"/>
      <c r="F13" s="36"/>
      <c r="G13" s="36"/>
      <c r="H13" s="36"/>
      <c r="I13" s="36"/>
      <c r="J13" s="18"/>
    </row>
    <row r="14" customFormat="false" ht="18" hidden="false" customHeight="true" outlineLevel="0" collapsed="false">
      <c r="C14" s="18"/>
      <c r="D14" s="36"/>
      <c r="E14" s="36"/>
      <c r="F14" s="36"/>
      <c r="G14" s="36"/>
      <c r="H14" s="36"/>
      <c r="I14" s="36"/>
      <c r="J14" s="18"/>
    </row>
    <row r="15" customFormat="false" ht="18" hidden="false" customHeight="true" outlineLevel="0" collapsed="false">
      <c r="C15" s="18"/>
      <c r="D15" s="36"/>
      <c r="E15" s="36"/>
      <c r="F15" s="36"/>
      <c r="G15" s="36"/>
      <c r="H15" s="36"/>
      <c r="I15" s="36"/>
      <c r="J15" s="18"/>
    </row>
    <row r="16" customFormat="false" ht="15" hidden="false" customHeight="false" outlineLevel="0" collapsed="false">
      <c r="C16" s="18"/>
      <c r="D16" s="18"/>
      <c r="E16" s="18"/>
      <c r="F16" s="18"/>
      <c r="G16" s="18"/>
      <c r="H16" s="18"/>
      <c r="I16" s="18"/>
      <c r="J16" s="18"/>
    </row>
    <row r="17" customFormat="false" ht="16.15" hidden="false" customHeight="false" outlineLevel="0" collapsed="false">
      <c r="C17" s="18"/>
      <c r="D17" s="24" t="s">
        <v>30</v>
      </c>
      <c r="E17" s="25"/>
      <c r="F17" s="25"/>
      <c r="G17" s="25"/>
      <c r="H17" s="25"/>
      <c r="I17" s="25"/>
      <c r="J17" s="18"/>
    </row>
    <row r="18" customFormat="false" ht="15" hidden="false" customHeight="true" outlineLevel="0" collapsed="false">
      <c r="C18" s="18"/>
      <c r="D18" s="28" t="s">
        <v>31</v>
      </c>
      <c r="E18" s="37" t="s">
        <v>32</v>
      </c>
      <c r="F18" s="36" t="s">
        <v>33</v>
      </c>
      <c r="G18" s="36"/>
      <c r="H18" s="36"/>
      <c r="I18" s="36"/>
      <c r="J18" s="18"/>
    </row>
    <row r="19" customFormat="false" ht="30" hidden="false" customHeight="true" outlineLevel="0" collapsed="false">
      <c r="C19" s="18"/>
      <c r="D19" s="28" t="s">
        <v>34</v>
      </c>
      <c r="E19" s="37" t="s">
        <v>35</v>
      </c>
      <c r="F19" s="36"/>
      <c r="G19" s="36"/>
      <c r="H19" s="36"/>
      <c r="I19" s="36"/>
      <c r="J19" s="18"/>
    </row>
    <row r="20" customFormat="false" ht="15" hidden="false" customHeight="false" outlineLevel="0" collapsed="false">
      <c r="C20" s="18"/>
      <c r="D20" s="28" t="s">
        <v>36</v>
      </c>
      <c r="E20" s="37" t="s">
        <v>37</v>
      </c>
      <c r="F20" s="36"/>
      <c r="G20" s="36"/>
      <c r="H20" s="36"/>
      <c r="I20" s="36"/>
      <c r="J20" s="18"/>
    </row>
    <row r="21" customFormat="false" ht="30" hidden="false" customHeight="true" outlineLevel="0" collapsed="false">
      <c r="C21" s="18"/>
      <c r="D21" s="28" t="s">
        <v>38</v>
      </c>
      <c r="E21" s="37" t="s">
        <v>35</v>
      </c>
      <c r="F21" s="36"/>
      <c r="G21" s="36"/>
      <c r="H21" s="36"/>
      <c r="I21" s="36"/>
      <c r="J21" s="18"/>
    </row>
    <row r="22" customFormat="false" ht="15" hidden="false" customHeight="false" outlineLevel="0" collapsed="false">
      <c r="C22" s="18"/>
      <c r="D22" s="18"/>
      <c r="E22" s="18"/>
      <c r="F22" s="18"/>
      <c r="G22" s="18"/>
      <c r="H22" s="18"/>
      <c r="I22" s="18"/>
      <c r="J22" s="18"/>
    </row>
    <row r="23" customFormat="false" ht="15" hidden="false" customHeight="false" outlineLevel="0" collapsed="false">
      <c r="C23" s="18"/>
      <c r="D23" s="18"/>
      <c r="E23" s="18"/>
      <c r="F23" s="18"/>
      <c r="G23" s="18"/>
      <c r="H23" s="18"/>
      <c r="I23" s="18"/>
      <c r="J23" s="18"/>
    </row>
    <row r="24" customFormat="false" ht="15" hidden="false" customHeight="false" outlineLevel="0" collapsed="false">
      <c r="C24" s="18"/>
      <c r="D24" s="18"/>
      <c r="E24" s="18"/>
      <c r="F24" s="18"/>
      <c r="G24" s="18"/>
      <c r="H24" s="18"/>
      <c r="I24" s="18"/>
      <c r="J24" s="18"/>
    </row>
    <row r="25" customFormat="false" ht="16.15" hidden="false" customHeight="false" outlineLevel="0" collapsed="false">
      <c r="C25" s="18"/>
      <c r="D25" s="24" t="s">
        <v>39</v>
      </c>
      <c r="E25" s="25"/>
      <c r="F25" s="25"/>
      <c r="G25" s="25"/>
      <c r="H25" s="25"/>
      <c r="I25" s="25"/>
      <c r="J25" s="18"/>
    </row>
    <row r="26" customFormat="false" ht="15" hidden="false" customHeight="false" outlineLevel="0" collapsed="false">
      <c r="C26" s="18"/>
      <c r="D26" s="28" t="s">
        <v>40</v>
      </c>
      <c r="E26" s="37" t="s">
        <v>41</v>
      </c>
      <c r="F26" s="37"/>
      <c r="G26" s="37"/>
      <c r="H26" s="18"/>
      <c r="I26" s="18"/>
      <c r="J26" s="18"/>
    </row>
    <row r="27" customFormat="false" ht="15" hidden="false" customHeight="true" outlineLevel="0" collapsed="false">
      <c r="C27" s="18"/>
      <c r="D27" s="28" t="s">
        <v>42</v>
      </c>
      <c r="E27" s="30" t="n">
        <v>40</v>
      </c>
      <c r="F27" s="18"/>
      <c r="G27" s="18"/>
      <c r="H27" s="36" t="s">
        <v>43</v>
      </c>
      <c r="I27" s="36"/>
      <c r="J27" s="18"/>
    </row>
    <row r="28" customFormat="false" ht="30" hidden="false" customHeight="true" outlineLevel="0" collapsed="false">
      <c r="C28" s="18"/>
      <c r="D28" s="28" t="s">
        <v>44</v>
      </c>
      <c r="E28" s="30" t="n">
        <v>45</v>
      </c>
      <c r="F28" s="18"/>
      <c r="G28" s="18"/>
      <c r="H28" s="36"/>
      <c r="I28" s="36"/>
      <c r="J28" s="18"/>
    </row>
    <row r="29" customFormat="false" ht="30" hidden="false" customHeight="true" outlineLevel="0" collapsed="false">
      <c r="C29" s="18"/>
      <c r="D29" s="28" t="s">
        <v>45</v>
      </c>
      <c r="E29" s="30" t="n">
        <v>90</v>
      </c>
      <c r="F29" s="18"/>
      <c r="G29" s="18"/>
      <c r="H29" s="36"/>
      <c r="I29" s="36"/>
      <c r="J29" s="18"/>
    </row>
    <row r="30" customFormat="false" ht="15" hidden="false" customHeight="false" outlineLevel="0" collapsed="false">
      <c r="C30" s="18"/>
      <c r="D30" s="28" t="s">
        <v>46</v>
      </c>
      <c r="E30" s="38" t="n">
        <v>90</v>
      </c>
      <c r="F30" s="18"/>
      <c r="G30" s="18"/>
      <c r="H30" s="36"/>
      <c r="I30" s="36"/>
      <c r="J30" s="18"/>
    </row>
    <row r="31" customFormat="false" ht="30" hidden="false" customHeight="true" outlineLevel="0" collapsed="false">
      <c r="C31" s="18"/>
      <c r="D31" s="28" t="s">
        <v>47</v>
      </c>
      <c r="E31" s="37" t="s">
        <v>48</v>
      </c>
      <c r="F31" s="18"/>
      <c r="G31" s="18"/>
      <c r="H31" s="36"/>
      <c r="I31" s="36"/>
      <c r="J31" s="18"/>
    </row>
    <row r="32" customFormat="false" ht="30" hidden="false" customHeight="true" outlineLevel="0" collapsed="false">
      <c r="C32" s="18"/>
      <c r="D32" s="28" t="s">
        <v>49</v>
      </c>
      <c r="E32" s="37" t="s">
        <v>48</v>
      </c>
      <c r="F32" s="18"/>
      <c r="G32" s="18"/>
      <c r="H32" s="36"/>
      <c r="I32" s="36"/>
      <c r="J32" s="18"/>
    </row>
    <row r="33" customFormat="false" ht="15" hidden="false" customHeight="false" outlineLevel="0" collapsed="false">
      <c r="C33" s="18"/>
      <c r="D33" s="18"/>
      <c r="E33" s="18"/>
      <c r="F33" s="18"/>
      <c r="G33" s="18"/>
      <c r="H33" s="18"/>
      <c r="I33" s="18"/>
      <c r="J33" s="18"/>
    </row>
    <row r="34" customFormat="false" ht="15" hidden="false" customHeight="false" outlineLevel="0" collapsed="false">
      <c r="C34" s="18"/>
      <c r="D34" s="18"/>
      <c r="E34" s="18"/>
      <c r="F34" s="18"/>
      <c r="G34" s="18"/>
      <c r="H34" s="18"/>
      <c r="I34" s="18"/>
      <c r="J34" s="18"/>
    </row>
    <row r="35" customFormat="false" ht="16.15" hidden="false" customHeight="false" outlineLevel="0" collapsed="false">
      <c r="C35" s="18"/>
      <c r="D35" s="24" t="s">
        <v>50</v>
      </c>
      <c r="E35" s="25"/>
      <c r="F35" s="25"/>
      <c r="G35" s="25"/>
      <c r="H35" s="25"/>
      <c r="I35" s="25"/>
      <c r="J35" s="18"/>
    </row>
    <row r="36" customFormat="false" ht="30" hidden="false" customHeight="true" outlineLevel="0" collapsed="false">
      <c r="C36" s="18"/>
      <c r="D36" s="28" t="s">
        <v>51</v>
      </c>
      <c r="E36" s="39" t="n">
        <v>45352</v>
      </c>
      <c r="F36" s="36" t="s">
        <v>52</v>
      </c>
      <c r="G36" s="36"/>
      <c r="H36" s="36"/>
      <c r="I36" s="36"/>
      <c r="J36" s="18"/>
    </row>
    <row r="37" customFormat="false" ht="30" hidden="false" customHeight="true" outlineLevel="0" collapsed="false">
      <c r="C37" s="18"/>
      <c r="D37" s="28" t="s">
        <v>53</v>
      </c>
      <c r="E37" s="30" t="n">
        <v>5</v>
      </c>
      <c r="F37" s="36"/>
      <c r="G37" s="36"/>
      <c r="H37" s="36"/>
      <c r="I37" s="36"/>
      <c r="J37" s="18"/>
    </row>
    <row r="38" customFormat="false" ht="30" hidden="false" customHeight="true" outlineLevel="0" collapsed="false">
      <c r="C38" s="18"/>
      <c r="D38" s="28" t="s">
        <v>54</v>
      </c>
      <c r="E38" s="40" t="n">
        <v>250</v>
      </c>
      <c r="F38" s="36"/>
      <c r="G38" s="36"/>
      <c r="H38" s="36"/>
      <c r="I38" s="36"/>
      <c r="J38" s="18"/>
    </row>
    <row r="39" customFormat="false" ht="30" hidden="false" customHeight="true" outlineLevel="0" collapsed="false">
      <c r="C39" s="18"/>
      <c r="D39" s="28" t="s">
        <v>55</v>
      </c>
      <c r="E39" s="39" t="n">
        <f aca="true">TODAY()</f>
        <v>46303</v>
      </c>
      <c r="F39" s="36"/>
      <c r="G39" s="36"/>
      <c r="H39" s="36"/>
      <c r="I39" s="36"/>
      <c r="J39" s="18"/>
    </row>
    <row r="40" customFormat="false" ht="15" hidden="false" customHeight="false" outlineLevel="0" collapsed="false">
      <c r="C40" s="18"/>
      <c r="D40" s="18"/>
      <c r="E40" s="18"/>
      <c r="F40" s="18"/>
      <c r="G40" s="18"/>
      <c r="H40" s="18"/>
      <c r="I40" s="18"/>
      <c r="J40" s="18"/>
    </row>
    <row r="41" customFormat="false" ht="15" hidden="false" customHeight="false" outlineLevel="0" collapsed="false">
      <c r="C41" s="18"/>
      <c r="D41" s="18"/>
      <c r="E41" s="18"/>
      <c r="F41" s="18"/>
      <c r="G41" s="18"/>
      <c r="H41" s="18"/>
      <c r="I41" s="18"/>
      <c r="J41" s="18"/>
    </row>
    <row r="42" customFormat="false" ht="15" hidden="false" customHeight="false" outlineLevel="0" collapsed="false">
      <c r="C42" s="18"/>
      <c r="D42" s="18"/>
      <c r="E42" s="18"/>
      <c r="F42" s="18"/>
      <c r="G42" s="18"/>
      <c r="H42" s="18"/>
      <c r="I42" s="18"/>
      <c r="J42" s="18"/>
    </row>
    <row r="43" customFormat="false" ht="16.15" hidden="false" customHeight="false" outlineLevel="0" collapsed="false">
      <c r="C43" s="18"/>
      <c r="D43" s="24" t="s">
        <v>56</v>
      </c>
      <c r="E43" s="25"/>
      <c r="F43" s="25"/>
      <c r="G43" s="25"/>
      <c r="H43" s="25"/>
      <c r="I43" s="25"/>
      <c r="J43" s="18"/>
    </row>
    <row r="44" customFormat="false" ht="30" hidden="false" customHeight="true" outlineLevel="0" collapsed="false">
      <c r="C44" s="18"/>
      <c r="D44" s="28" t="s">
        <v>57</v>
      </c>
      <c r="E44" s="41" t="n">
        <f aca="false">IF(ISNUMBER(Berechnung!C16),Berechnung!C16,"–")</f>
        <v>-12.2077922077922</v>
      </c>
      <c r="F44" s="42" t="str">
        <f aca="false">IF(Berechnung!C15&gt;0,"inkl. Kompression "&amp;FIXED(Berechnung!C15,1)&amp;" g/MJ","")</f>
        <v/>
      </c>
      <c r="G44" s="18"/>
      <c r="H44" s="18"/>
      <c r="I44" s="18"/>
      <c r="J44" s="18"/>
    </row>
    <row r="45" customFormat="false" ht="15" hidden="false" customHeight="false" outlineLevel="0" collapsed="false">
      <c r="C45" s="18"/>
      <c r="D45" s="18"/>
      <c r="E45" s="18"/>
      <c r="F45" s="18"/>
      <c r="G45" s="18"/>
      <c r="H45" s="18"/>
      <c r="I45" s="18"/>
      <c r="J45" s="18"/>
    </row>
    <row r="46" customFormat="false" ht="36" hidden="false" customHeight="true" outlineLevel="0" collapsed="false">
      <c r="C46" s="18"/>
      <c r="D46" s="43" t="s">
        <v>58</v>
      </c>
      <c r="E46" s="44" t="s">
        <v>59</v>
      </c>
      <c r="F46" s="44" t="s">
        <v>60</v>
      </c>
      <c r="G46" s="44" t="s">
        <v>61</v>
      </c>
      <c r="H46" s="44" t="s">
        <v>62</v>
      </c>
      <c r="I46" s="44" t="s">
        <v>63</v>
      </c>
      <c r="J46" s="18"/>
    </row>
    <row r="47" customFormat="false" ht="30" hidden="false" customHeight="true" outlineLevel="0" collapsed="false">
      <c r="C47" s="18"/>
      <c r="D47" s="45" t="s">
        <v>64</v>
      </c>
      <c r="E47" s="41" t="str">
        <f aca="false">Berechnung!D50</f>
        <v>–</v>
      </c>
      <c r="F47" s="31" t="str">
        <f aca="false">Berechnung!E50</f>
        <v>–</v>
      </c>
      <c r="G47" s="35" t="str">
        <f aca="false">Berechnung!F50</f>
        <v>–</v>
      </c>
      <c r="H47" s="46" t="str">
        <f aca="false">Berechnung!G50</f>
        <v>–</v>
      </c>
      <c r="I47" s="47" t="str">
        <f aca="false">Berechnung!H50</f>
        <v>–</v>
      </c>
      <c r="J47" s="18"/>
    </row>
    <row r="48" customFormat="false" ht="30" hidden="false" customHeight="true" outlineLevel="0" collapsed="false">
      <c r="C48" s="18"/>
      <c r="D48" s="45" t="s">
        <v>65</v>
      </c>
      <c r="E48" s="41" t="n">
        <f aca="false">Berechnung!D51</f>
        <v>-23.8655240108728</v>
      </c>
      <c r="F48" s="31" t="n">
        <f aca="false">Berechnung!E51</f>
        <v>183</v>
      </c>
      <c r="G48" s="35" t="n">
        <f aca="false">Berechnung!F51</f>
        <v>1.13041269951297</v>
      </c>
      <c r="H48" s="46" t="n">
        <f aca="false">Berechnung!G51</f>
        <v>0.8</v>
      </c>
      <c r="I48" s="47" t="str">
        <f aca="false">Berechnung!H51</f>
        <v>eingehalten</v>
      </c>
      <c r="J48" s="18"/>
    </row>
    <row r="49" customFormat="false" ht="30" hidden="false" customHeight="true" outlineLevel="0" collapsed="false">
      <c r="C49" s="18"/>
      <c r="D49" s="45" t="s">
        <v>66</v>
      </c>
      <c r="E49" s="41" t="n">
        <f aca="false">Berechnung!D52</f>
        <v>-5.91462800765126</v>
      </c>
      <c r="F49" s="31" t="n">
        <f aca="false">Berechnung!E52</f>
        <v>80</v>
      </c>
      <c r="G49" s="35" t="n">
        <f aca="false">Berechnung!F52</f>
        <v>1.07393285009564</v>
      </c>
      <c r="H49" s="46" t="n">
        <f aca="false">Berechnung!G52</f>
        <v>0.8</v>
      </c>
      <c r="I49" s="47" t="str">
        <f aca="false">Berechnung!H52</f>
        <v>eingehalten</v>
      </c>
      <c r="J49" s="18"/>
    </row>
    <row r="50" customFormat="false" ht="15" hidden="false" customHeight="false" outlineLevel="0" collapsed="false">
      <c r="C50" s="18"/>
      <c r="D50" s="18"/>
      <c r="E50" s="18"/>
      <c r="F50" s="18"/>
      <c r="G50" s="18"/>
      <c r="H50" s="18"/>
      <c r="I50" s="18"/>
      <c r="J50" s="18"/>
    </row>
    <row r="51" customFormat="false" ht="33.75" hidden="false" customHeight="true" outlineLevel="0" collapsed="false">
      <c r="C51" s="18"/>
      <c r="D51" s="48" t="str">
        <f aca="false">Berechnung!C60</f>
        <v>THG-Emissionen: -12.2 g CO2-Äq/MJ Biomethan | Einsparung Strom: 113.0 % | Einsparung Wärme: 107.4 %</v>
      </c>
      <c r="E51" s="48"/>
      <c r="F51" s="48"/>
      <c r="G51" s="48"/>
      <c r="H51" s="48"/>
      <c r="I51" s="48"/>
      <c r="J51" s="18"/>
    </row>
    <row r="52" customFormat="false" ht="15" hidden="false" customHeight="false" outlineLevel="0" collapsed="false">
      <c r="C52" s="18"/>
      <c r="D52" s="18"/>
      <c r="E52" s="18"/>
      <c r="F52" s="18"/>
      <c r="G52" s="18"/>
      <c r="H52" s="18"/>
      <c r="I52" s="18"/>
      <c r="J52" s="18"/>
    </row>
    <row r="53" customFormat="false" ht="30" hidden="false" customHeight="true" outlineLevel="0" collapsed="false">
      <c r="C53" s="18"/>
      <c r="D53" s="49" t="s">
        <v>67</v>
      </c>
      <c r="E53" s="50" t="str">
        <f aca="false">Berechnung!C61</f>
        <v>Art. 29 Abs. 10 lit. d: 80 % ab Inbetriebnahme</v>
      </c>
      <c r="F53" s="50"/>
      <c r="G53" s="50"/>
      <c r="H53" s="50"/>
      <c r="I53" s="50"/>
      <c r="J53" s="18"/>
    </row>
    <row r="54" customFormat="false" ht="30" hidden="false" customHeight="true" outlineLevel="0" collapsed="false">
      <c r="C54" s="18"/>
      <c r="D54" s="49" t="s">
        <v>68</v>
      </c>
      <c r="E54" s="50" t="str">
        <f aca="false">Berechnung!C62</f>
        <v>Nutzungsanlage ≥ 2 MW: von den Kriterien erfasst (lit. b).</v>
      </c>
      <c r="F54" s="50"/>
      <c r="G54" s="50"/>
      <c r="H54" s="50"/>
      <c r="I54" s="50"/>
      <c r="J54" s="18"/>
    </row>
    <row r="55" customFormat="false" ht="15" hidden="false" customHeight="false" outlineLevel="0" collapsed="false">
      <c r="C55" s="18"/>
      <c r="D55" s="18"/>
      <c r="E55" s="18"/>
      <c r="F55" s="18"/>
      <c r="G55" s="18"/>
      <c r="H55" s="18"/>
      <c r="I55" s="18"/>
      <c r="J55" s="18"/>
    </row>
    <row r="56" customFormat="false" ht="15" hidden="false" customHeight="false" outlineLevel="0" collapsed="false">
      <c r="C56" s="18"/>
      <c r="D56" s="49" t="s">
        <v>69</v>
      </c>
      <c r="E56" s="18"/>
      <c r="F56" s="18"/>
      <c r="G56" s="18"/>
      <c r="H56" s="18"/>
      <c r="I56" s="18"/>
      <c r="J56" s="18"/>
    </row>
    <row r="57" customFormat="false" ht="15" hidden="false" customHeight="false" outlineLevel="0" collapsed="false">
      <c r="C57" s="18"/>
      <c r="D57" s="51" t="str">
        <f aca="false">Berechnung!C65</f>
        <v/>
      </c>
      <c r="E57" s="51"/>
      <c r="F57" s="51"/>
      <c r="G57" s="51"/>
      <c r="H57" s="51"/>
      <c r="I57" s="51"/>
      <c r="J57" s="18"/>
    </row>
    <row r="58" customFormat="false" ht="15" hidden="false" customHeight="false" outlineLevel="0" collapsed="false">
      <c r="C58" s="18"/>
      <c r="D58" s="51" t="str">
        <f aca="false">Berechnung!C66</f>
        <v/>
      </c>
      <c r="E58" s="51"/>
      <c r="F58" s="51"/>
      <c r="G58" s="51"/>
      <c r="H58" s="51"/>
      <c r="I58" s="51"/>
      <c r="J58" s="18"/>
    </row>
    <row r="59" customFormat="false" ht="15" hidden="false" customHeight="false" outlineLevel="0" collapsed="false">
      <c r="C59" s="18"/>
      <c r="D59" s="51" t="str">
        <f aca="false">Berechnung!C67</f>
        <v/>
      </c>
      <c r="E59" s="51"/>
      <c r="F59" s="51"/>
      <c r="G59" s="51"/>
      <c r="H59" s="51"/>
      <c r="I59" s="51"/>
      <c r="J59" s="18"/>
    </row>
    <row r="60" customFormat="false" ht="15" hidden="false" customHeight="false" outlineLevel="0" collapsed="false">
      <c r="C60" s="18"/>
      <c r="D60" s="51" t="str">
        <f aca="false">Berechnung!C68</f>
        <v/>
      </c>
      <c r="E60" s="51"/>
      <c r="F60" s="51"/>
      <c r="G60" s="51"/>
      <c r="H60" s="51"/>
      <c r="I60" s="51"/>
      <c r="J60" s="18"/>
    </row>
    <row r="61" customFormat="false" ht="15" hidden="false" customHeight="false" outlineLevel="0" collapsed="false">
      <c r="C61" s="18"/>
      <c r="D61" s="51" t="str">
        <f aca="false">Berechnung!C69</f>
        <v/>
      </c>
      <c r="E61" s="51"/>
      <c r="F61" s="51"/>
      <c r="G61" s="51"/>
      <c r="H61" s="51"/>
      <c r="I61" s="51"/>
      <c r="J61" s="18"/>
    </row>
    <row r="62" customFormat="false" ht="15" hidden="false" customHeight="false" outlineLevel="0" collapsed="false">
      <c r="C62" s="18"/>
      <c r="D62" s="51" t="str">
        <f aca="false">Berechnung!C70</f>
        <v/>
      </c>
      <c r="E62" s="51"/>
      <c r="F62" s="51"/>
      <c r="G62" s="51"/>
      <c r="H62" s="51"/>
      <c r="I62" s="51"/>
      <c r="J62" s="18"/>
    </row>
    <row r="63" customFormat="false" ht="15" hidden="false" customHeight="false" outlineLevel="0" collapsed="false">
      <c r="C63" s="18"/>
      <c r="D63" s="51" t="str">
        <f aca="false">Berechnung!C71</f>
        <v/>
      </c>
      <c r="E63" s="51"/>
      <c r="F63" s="51"/>
      <c r="G63" s="51"/>
      <c r="H63" s="51"/>
      <c r="I63" s="51"/>
      <c r="J63" s="18"/>
    </row>
    <row r="64" customFormat="false" ht="15" hidden="false" customHeight="false" outlineLevel="0" collapsed="false">
      <c r="C64" s="18"/>
      <c r="D64" s="51" t="str">
        <f aca="false">Berechnung!C72</f>
        <v/>
      </c>
      <c r="E64" s="51"/>
      <c r="F64" s="51"/>
      <c r="G64" s="51"/>
      <c r="H64" s="51"/>
      <c r="I64" s="51"/>
      <c r="J64" s="18"/>
    </row>
    <row r="65" customFormat="false" ht="15" hidden="false" customHeight="false" outlineLevel="0" collapsed="false">
      <c r="C65" s="18"/>
      <c r="D65" s="18"/>
      <c r="E65" s="18"/>
      <c r="F65" s="18"/>
      <c r="G65" s="18"/>
      <c r="H65" s="18"/>
      <c r="I65" s="18"/>
      <c r="J65" s="18"/>
    </row>
    <row r="66" customFormat="false" ht="15" hidden="false" customHeight="false" outlineLevel="0" collapsed="false">
      <c r="C66" s="18"/>
      <c r="D66" s="18"/>
      <c r="E66" s="18"/>
      <c r="F66" s="18"/>
      <c r="G66" s="18"/>
      <c r="H66" s="18"/>
      <c r="I66" s="18"/>
      <c r="J66" s="18"/>
    </row>
    <row r="67" customFormat="false" ht="15" hidden="false" customHeight="false" outlineLevel="0" collapsed="false">
      <c r="C67" s="18"/>
      <c r="D67" s="18"/>
      <c r="E67" s="18"/>
      <c r="F67" s="18"/>
      <c r="G67" s="18"/>
      <c r="H67" s="18"/>
      <c r="I67" s="18"/>
      <c r="J67" s="18"/>
    </row>
    <row r="68" customFormat="false" ht="15" hidden="false" customHeight="true" outlineLevel="0" collapsed="false">
      <c r="B68" s="52" t="s">
        <v>70</v>
      </c>
      <c r="C68" s="52"/>
      <c r="D68" s="52"/>
      <c r="E68" s="52"/>
      <c r="F68" s="52"/>
      <c r="G68" s="52"/>
      <c r="H68" s="52"/>
      <c r="I68" s="52"/>
      <c r="J68" s="52"/>
    </row>
    <row r="69" customFormat="false" ht="15" hidden="false" customHeight="false" outlineLevel="0" collapsed="false">
      <c r="B69" s="52"/>
      <c r="C69" s="52"/>
      <c r="D69" s="52"/>
      <c r="E69" s="52"/>
      <c r="F69" s="52"/>
      <c r="G69" s="52"/>
      <c r="H69" s="52"/>
      <c r="I69" s="52"/>
      <c r="J69" s="52"/>
    </row>
    <row r="70" customFormat="false" ht="15" hidden="false" customHeight="false" outlineLevel="0" collapsed="false">
      <c r="B70" s="52"/>
      <c r="C70" s="52"/>
      <c r="D70" s="52"/>
      <c r="E70" s="52"/>
      <c r="F70" s="52"/>
      <c r="G70" s="52"/>
      <c r="H70" s="52"/>
      <c r="I70" s="52"/>
      <c r="J70" s="52"/>
    </row>
    <row r="71" customFormat="false" ht="15" hidden="false" customHeight="false" outlineLevel="0" collapsed="false">
      <c r="B71" s="53" t="s">
        <v>71</v>
      </c>
      <c r="C71" s="18"/>
      <c r="D71" s="18"/>
      <c r="E71" s="18"/>
      <c r="F71" s="18"/>
      <c r="G71" s="18"/>
      <c r="H71" s="18"/>
      <c r="I71" s="18"/>
      <c r="J71" s="18"/>
    </row>
    <row r="72" customFormat="false" ht="15" hidden="false" customHeight="false" outlineLevel="0" collapsed="false">
      <c r="C72" s="18"/>
      <c r="D72" s="18"/>
      <c r="E72" s="18"/>
      <c r="F72" s="18"/>
      <c r="G72" s="18"/>
      <c r="H72" s="18"/>
      <c r="I72" s="18"/>
      <c r="J72" s="18"/>
    </row>
    <row r="73" customFormat="false" ht="15" hidden="false" customHeight="false" outlineLevel="0" collapsed="false">
      <c r="C73" s="18"/>
      <c r="D73" s="18"/>
      <c r="E73" s="18"/>
      <c r="F73" s="18"/>
      <c r="G73" s="18"/>
      <c r="H73" s="18"/>
      <c r="I73" s="18"/>
      <c r="J73" s="18"/>
    </row>
    <row r="74" customFormat="false" ht="15" hidden="false" customHeight="false" outlineLevel="0" collapsed="false">
      <c r="C74" s="18"/>
      <c r="D74" s="18"/>
      <c r="E74" s="18"/>
      <c r="F74" s="18"/>
      <c r="G74" s="18"/>
      <c r="H74" s="18"/>
      <c r="I74" s="18"/>
      <c r="J74" s="18"/>
    </row>
    <row r="75" customFormat="false" ht="15" hidden="false" customHeight="false" outlineLevel="0" collapsed="false">
      <c r="C75" s="18"/>
      <c r="D75" s="18"/>
      <c r="E75" s="18"/>
      <c r="F75" s="18"/>
      <c r="G75" s="18"/>
      <c r="H75" s="18"/>
      <c r="I75" s="18"/>
      <c r="J75" s="18"/>
    </row>
  </sheetData>
  <mergeCells count="18">
    <mergeCell ref="H5:I5"/>
    <mergeCell ref="D13:I15"/>
    <mergeCell ref="F18:I21"/>
    <mergeCell ref="E26:G26"/>
    <mergeCell ref="H27:I32"/>
    <mergeCell ref="F36:I39"/>
    <mergeCell ref="D51:I51"/>
    <mergeCell ref="E53:I53"/>
    <mergeCell ref="E54:I54"/>
    <mergeCell ref="D57:I57"/>
    <mergeCell ref="D58:I58"/>
    <mergeCell ref="D59:I59"/>
    <mergeCell ref="D60:I60"/>
    <mergeCell ref="D61:I61"/>
    <mergeCell ref="D62:I62"/>
    <mergeCell ref="D63:I63"/>
    <mergeCell ref="D64:I64"/>
    <mergeCell ref="B68:J70"/>
  </mergeCells>
  <conditionalFormatting sqref="E27">
    <cfRule type="expression" priority="2" aboveAverage="0" equalAverage="0" bottom="0" percent="0" rank="0" text="" dxfId="0">
      <formula>AND($E$26&lt;&gt;Liste!$H$6,$E$26&lt;&gt;Liste!$H$8)</formula>
    </cfRule>
  </conditionalFormatting>
  <conditionalFormatting sqref="E28">
    <cfRule type="expression" priority="3" aboveAverage="0" equalAverage="0" bottom="0" percent="0" rank="0" text="" dxfId="0">
      <formula>$E$26&lt;&gt;Liste!$H$8</formula>
    </cfRule>
  </conditionalFormatting>
  <conditionalFormatting sqref="E29">
    <cfRule type="expression" priority="4" aboveAverage="0" equalAverage="0" bottom="0" percent="0" rank="0" text="" dxfId="0">
      <formula>$E$26&lt;&gt;Liste!$H$7</formula>
    </cfRule>
  </conditionalFormatting>
  <conditionalFormatting sqref="E30">
    <cfRule type="expression" priority="5" aboveAverage="0" equalAverage="0" bottom="0" percent="0" rank="0" text="" dxfId="0">
      <formula>OR($E$26&lt;&gt;Liste!$H$8,$E$31="Ja")</formula>
    </cfRule>
  </conditionalFormatting>
  <conditionalFormatting sqref="E31">
    <cfRule type="expression" priority="6" aboveAverage="0" equalAverage="0" bottom="0" percent="0" rank="0" text="" dxfId="0">
      <formula>$E$26&lt;&gt;Liste!$H$8</formula>
    </cfRule>
  </conditionalFormatting>
  <conditionalFormatting sqref="E32">
    <cfRule type="expression" priority="7" aboveAverage="0" equalAverage="0" bottom="0" percent="0" rank="0" text="" dxfId="0">
      <formula>AND($E$26&lt;&gt;Liste!$H$7,$E$26&lt;&gt;Liste!$H$8)</formula>
    </cfRule>
  </conditionalFormatting>
  <conditionalFormatting sqref="E37">
    <cfRule type="expression" priority="8" aboveAverage="0" equalAverage="0" bottom="0" percent="0" rank="0" text="" dxfId="0">
      <formula>$E$26=Liste!$H$5</formula>
    </cfRule>
  </conditionalFormatting>
  <conditionalFormatting sqref="E21">
    <cfRule type="expression" priority="9" aboveAverage="0" equalAverage="0" bottom="0" percent="0" rank="0" text="" dxfId="0">
      <formula>$E$10=0</formula>
    </cfRule>
  </conditionalFormatting>
  <conditionalFormatting sqref="I47:I49">
    <cfRule type="expression" priority="10" aboveAverage="0" equalAverage="0" bottom="0" percent="0" rank="0" text="" dxfId="1">
      <formula>LEFT(I47,11)="eingehalten"</formula>
    </cfRule>
    <cfRule type="expression" priority="11" aboveAverage="0" equalAverage="0" bottom="0" percent="0" rank="0" text="" dxfId="2">
      <formula>LEFT(I47,5)="nicht"</formula>
    </cfRule>
  </conditionalFormatting>
  <dataValidations count="7">
    <dataValidation allowBlank="false" error="Bitte einen Wert aus der Liste wählen." errorStyle="stop" errorTitle="Ungültige Eingabe" operator="between" showDropDown="false" showErrorMessage="true" showInputMessage="false" sqref="E18" type="list">
      <formula1>Liste!$D$5:$D$6</formula1>
      <formula2>0</formula2>
    </dataValidation>
    <dataValidation allowBlank="false" error="Bitte einen Wert aus der Liste wählen." errorStyle="stop" errorTitle="Ungültige Eingabe" operator="between" showDropDown="false" showErrorMessage="true" showInputMessage="false" sqref="E19 E21 E31:E32" type="list">
      <formula1>Liste!$B$5:$B$6</formula1>
      <formula2>0</formula2>
    </dataValidation>
    <dataValidation allowBlank="false" error="Bitte einen Wert aus der Liste wählen." errorStyle="stop" errorTitle="Ungültige Eingabe" operator="between" showDropDown="false" showErrorMessage="true" showInputMessage="false" sqref="E20" type="list">
      <formula1>Liste!$F$5:$F$6</formula1>
      <formula2>0</formula2>
    </dataValidation>
    <dataValidation allowBlank="false" error="Bitte einen Wert aus der Liste wählen." errorStyle="stop" errorTitle="Ungültige Eingabe" operator="between" showDropDown="false" showErrorMessage="true" showInputMessage="false" sqref="E26" type="list">
      <formula1>Liste!$H$5:$H$8</formula1>
      <formula2>0</formula2>
    </dataValidation>
    <dataValidation allowBlank="true" error="Bitte eine Zahl ≥ 0 eingeben." errorStyle="stop" operator="greaterThanOrEqual" showDropDown="false" showErrorMessage="true" showInputMessage="false" sqref="E9:E11 E37:E38" type="decimal">
      <formula1>0</formula1>
      <formula2>0</formula2>
    </dataValidation>
    <dataValidation allowBlank="true" error="Bitte einen Prozentwert zwischen 0 und 100 eingeben." errorStyle="stop" operator="between" showDropDown="false" showErrorMessage="true" showInputMessage="false" sqref="F9:F11 E27:E29" type="decimal">
      <formula1>0</formula1>
      <formula2>100</formula2>
    </dataValidation>
    <dataValidation allowBlank="true" error="Bitte ein Datum eingeben." errorStyle="stop" operator="greaterThan" showDropDown="false" showErrorMessage="true" showInputMessage="false" sqref="E36 E39" type="date">
      <formula1>1</formula1>
      <formula2>0</formula2>
    </dataValidation>
  </dataValidations>
  <hyperlinks>
    <hyperlink ref="B71" r:id="rId2" display="https://eur-lex.europa.eu/legal-content/DE/TXT/?uri=CELEX:02018L2001-20240716"/>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6"/>
    <col collapsed="false" customWidth="true" hidden="false" outlineLevel="0" max="3" min="3" style="14" width="16"/>
    <col collapsed="false" customWidth="true" hidden="false" outlineLevel="0" max="5" min="4" style="14" width="60"/>
    <col collapsed="false" customWidth="true" hidden="false" outlineLevel="0" max="6" min="6" style="14" width="30"/>
  </cols>
  <sheetData>
    <row r="2" customFormat="false" ht="19.7" hidden="false" customHeight="false" outlineLevel="0" collapsed="false">
      <c r="B2" s="54" t="s">
        <v>72</v>
      </c>
    </row>
    <row r="4" customFormat="false" ht="15" hidden="false" customHeight="false" outlineLevel="0" collapsed="false">
      <c r="B4" s="55" t="s">
        <v>73</v>
      </c>
      <c r="C4" s="55" t="s">
        <v>74</v>
      </c>
      <c r="D4" s="55" t="s">
        <v>75</v>
      </c>
      <c r="E4" s="55" t="s">
        <v>76</v>
      </c>
      <c r="F4" s="55" t="s">
        <v>77</v>
      </c>
    </row>
    <row r="5" customFormat="false" ht="48" hidden="false" customHeight="true" outlineLevel="0" collapsed="false">
      <c r="B5" s="56" t="n">
        <v>1</v>
      </c>
      <c r="C5" s="57" t="s">
        <v>78</v>
      </c>
      <c r="D5" s="57" t="s">
        <v>79</v>
      </c>
      <c r="E5" s="57" t="s">
        <v>80</v>
      </c>
      <c r="F5" s="57" t="s">
        <v>81</v>
      </c>
    </row>
    <row r="6" customFormat="false" ht="48" hidden="false" customHeight="true" outlineLevel="0" collapsed="false">
      <c r="B6" s="56" t="n">
        <v>2</v>
      </c>
      <c r="C6" s="57" t="s">
        <v>82</v>
      </c>
      <c r="D6" s="57" t="s">
        <v>83</v>
      </c>
      <c r="E6" s="57" t="s">
        <v>84</v>
      </c>
      <c r="F6" s="57" t="s">
        <v>85</v>
      </c>
    </row>
    <row r="7" customFormat="false" ht="48" hidden="false" customHeight="true" outlineLevel="0" collapsed="false">
      <c r="B7" s="56" t="n">
        <v>3</v>
      </c>
      <c r="C7" s="57" t="s">
        <v>86</v>
      </c>
      <c r="D7" s="57" t="s">
        <v>87</v>
      </c>
      <c r="E7" s="57" t="s">
        <v>88</v>
      </c>
      <c r="F7" s="57" t="s">
        <v>89</v>
      </c>
    </row>
    <row r="8" customFormat="false" ht="48" hidden="false" customHeight="true" outlineLevel="0" collapsed="false">
      <c r="B8" s="56" t="n">
        <v>4</v>
      </c>
      <c r="C8" s="57" t="s">
        <v>90</v>
      </c>
      <c r="D8" s="57" t="s">
        <v>91</v>
      </c>
      <c r="E8" s="57" t="s">
        <v>92</v>
      </c>
      <c r="F8" s="57" t="s">
        <v>93</v>
      </c>
    </row>
    <row r="9" customFormat="false" ht="48" hidden="false" customHeight="true" outlineLevel="0" collapsed="false">
      <c r="B9" s="56" t="n">
        <v>5</v>
      </c>
      <c r="C9" s="57" t="s">
        <v>94</v>
      </c>
      <c r="D9" s="57" t="s">
        <v>95</v>
      </c>
      <c r="E9" s="57" t="s">
        <v>96</v>
      </c>
      <c r="F9" s="57" t="s">
        <v>97</v>
      </c>
    </row>
    <row r="10" customFormat="false" ht="48" hidden="false" customHeight="true" outlineLevel="0" collapsed="false">
      <c r="B10" s="56" t="n">
        <v>6</v>
      </c>
      <c r="C10" s="57" t="s">
        <v>94</v>
      </c>
      <c r="D10" s="57" t="s">
        <v>98</v>
      </c>
      <c r="E10" s="57" t="s">
        <v>99</v>
      </c>
      <c r="F10" s="57" t="s">
        <v>100</v>
      </c>
    </row>
    <row r="11" customFormat="false" ht="48" hidden="false" customHeight="true" outlineLevel="0" collapsed="false">
      <c r="B11" s="56" t="n">
        <v>7</v>
      </c>
      <c r="C11" s="57" t="s">
        <v>101</v>
      </c>
      <c r="D11" s="57" t="s">
        <v>102</v>
      </c>
      <c r="E11" s="57" t="s">
        <v>103</v>
      </c>
      <c r="F11" s="57" t="s">
        <v>104</v>
      </c>
    </row>
    <row r="12" customFormat="false" ht="48" hidden="false" customHeight="true" outlineLevel="0" collapsed="false">
      <c r="B12" s="56" t="n">
        <v>8</v>
      </c>
      <c r="C12" s="57" t="s">
        <v>14</v>
      </c>
      <c r="D12" s="57" t="s">
        <v>105</v>
      </c>
      <c r="E12" s="57" t="s">
        <v>106</v>
      </c>
      <c r="F12" s="57" t="s">
        <v>107</v>
      </c>
    </row>
    <row r="13" customFormat="false" ht="48" hidden="false" customHeight="true" outlineLevel="0" collapsed="false">
      <c r="B13" s="56" t="n">
        <v>9</v>
      </c>
      <c r="C13" s="57" t="s">
        <v>14</v>
      </c>
      <c r="D13" s="57" t="s">
        <v>108</v>
      </c>
      <c r="E13" s="57" t="s">
        <v>109</v>
      </c>
      <c r="F13" s="57" t="s">
        <v>107</v>
      </c>
    </row>
    <row r="14" customFormat="false" ht="48" hidden="false" customHeight="true" outlineLevel="0" collapsed="false">
      <c r="B14" s="56" t="n">
        <v>10</v>
      </c>
      <c r="C14" s="57" t="s">
        <v>110</v>
      </c>
      <c r="D14" s="57" t="s">
        <v>107</v>
      </c>
      <c r="E14" s="57" t="s">
        <v>111</v>
      </c>
      <c r="F14" s="57"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46"/>
    <col collapsed="false" customWidth="true" hidden="false" outlineLevel="0" max="3" min="3" style="14" width="62"/>
    <col collapsed="false" customWidth="true" hidden="false" outlineLevel="0" max="4" min="4" style="14" width="18"/>
    <col collapsed="false" customWidth="true" hidden="false" outlineLevel="0" max="5" min="5" style="14" width="52"/>
  </cols>
  <sheetData>
    <row r="2" customFormat="false" ht="19.7" hidden="false" customHeight="false" outlineLevel="0" collapsed="false">
      <c r="B2" s="54" t="s">
        <v>113</v>
      </c>
    </row>
    <row r="4" customFormat="false" ht="15" hidden="false" customHeight="false" outlineLevel="0" collapsed="false">
      <c r="B4" s="58" t="s">
        <v>114</v>
      </c>
    </row>
    <row r="5" customFormat="false" ht="15" hidden="false" customHeight="false" outlineLevel="0" collapsed="false">
      <c r="B5" s="59" t="s">
        <v>115</v>
      </c>
      <c r="C5" s="60" t="n">
        <v>94</v>
      </c>
      <c r="D5" s="59" t="s">
        <v>116</v>
      </c>
    </row>
    <row r="6" customFormat="false" ht="15" hidden="false" customHeight="false" outlineLevel="0" collapsed="false">
      <c r="B6" s="59" t="s">
        <v>117</v>
      </c>
      <c r="C6" s="60" t="n">
        <v>183</v>
      </c>
      <c r="D6" s="59" t="s">
        <v>116</v>
      </c>
    </row>
    <row r="7" customFormat="false" ht="15" hidden="false" customHeight="false" outlineLevel="0" collapsed="false">
      <c r="B7" s="59" t="s">
        <v>118</v>
      </c>
      <c r="C7" s="60" t="n">
        <v>80</v>
      </c>
      <c r="D7" s="59" t="s">
        <v>116</v>
      </c>
    </row>
    <row r="8" customFormat="false" ht="15" hidden="false" customHeight="false" outlineLevel="0" collapsed="false">
      <c r="B8" s="59" t="s">
        <v>119</v>
      </c>
      <c r="C8" s="60" t="n">
        <v>124</v>
      </c>
      <c r="D8" s="59" t="s">
        <v>116</v>
      </c>
    </row>
    <row r="10" customFormat="false" ht="15" hidden="false" customHeight="false" outlineLevel="0" collapsed="false">
      <c r="B10" s="58" t="s">
        <v>120</v>
      </c>
    </row>
    <row r="11" customFormat="false" ht="15" hidden="false" customHeight="false" outlineLevel="0" collapsed="false">
      <c r="B11" s="55" t="s">
        <v>121</v>
      </c>
      <c r="C11" s="55" t="s">
        <v>122</v>
      </c>
      <c r="D11" s="55" t="s">
        <v>123</v>
      </c>
      <c r="E11" s="55" t="s">
        <v>124</v>
      </c>
    </row>
    <row r="12" customFormat="false" ht="30" hidden="false" customHeight="true" outlineLevel="0" collapsed="false">
      <c r="B12" s="60" t="s">
        <v>125</v>
      </c>
      <c r="C12" s="61" t="s">
        <v>126</v>
      </c>
      <c r="D12" s="62" t="n">
        <v>0.5</v>
      </c>
      <c r="E12" s="61"/>
    </row>
    <row r="13" customFormat="false" ht="30" hidden="false" customHeight="true" outlineLevel="0" collapsed="false">
      <c r="B13" s="60" t="s">
        <v>127</v>
      </c>
      <c r="C13" s="61" t="s">
        <v>128</v>
      </c>
      <c r="D13" s="62" t="n">
        <v>0.6</v>
      </c>
      <c r="E13" s="61"/>
    </row>
    <row r="14" customFormat="false" ht="30" hidden="false" customHeight="true" outlineLevel="0" collapsed="false">
      <c r="B14" s="60" t="s">
        <v>129</v>
      </c>
      <c r="C14" s="61" t="s">
        <v>130</v>
      </c>
      <c r="D14" s="62" t="n">
        <v>0.65</v>
      </c>
      <c r="E14" s="61"/>
    </row>
    <row r="15" customFormat="false" ht="30" hidden="false" customHeight="true" outlineLevel="0" collapsed="false">
      <c r="B15" s="60" t="s">
        <v>131</v>
      </c>
      <c r="C15" s="61" t="s">
        <v>132</v>
      </c>
      <c r="D15" s="62" t="n">
        <v>0.8</v>
      </c>
      <c r="E15" s="61"/>
    </row>
    <row r="16" customFormat="false" ht="30" hidden="false" customHeight="true" outlineLevel="0" collapsed="false">
      <c r="B16" s="60" t="s">
        <v>133</v>
      </c>
      <c r="C16" s="61" t="s">
        <v>134</v>
      </c>
      <c r="D16" s="62" t="n">
        <v>0.7</v>
      </c>
      <c r="E16" s="61" t="s">
        <v>135</v>
      </c>
    </row>
    <row r="17" customFormat="false" ht="30" hidden="false" customHeight="true" outlineLevel="0" collapsed="false">
      <c r="B17" s="60" t="s">
        <v>136</v>
      </c>
      <c r="C17" s="61" t="s">
        <v>137</v>
      </c>
      <c r="D17" s="62" t="n">
        <v>0.7</v>
      </c>
      <c r="E17" s="61" t="s">
        <v>138</v>
      </c>
    </row>
    <row r="18" customFormat="false" ht="30" hidden="false" customHeight="true" outlineLevel="0" collapsed="false">
      <c r="B18" s="60" t="s">
        <v>139</v>
      </c>
      <c r="C18" s="61" t="s">
        <v>140</v>
      </c>
      <c r="D18" s="62" t="n">
        <v>0.8</v>
      </c>
      <c r="E18" s="61" t="s">
        <v>141</v>
      </c>
    </row>
    <row r="19" customFormat="false" ht="30" hidden="false" customHeight="true" outlineLevel="0" collapsed="false">
      <c r="B19" s="60" t="s">
        <v>142</v>
      </c>
      <c r="C19" s="61" t="s">
        <v>143</v>
      </c>
      <c r="D19" s="62" t="n">
        <v>0.8</v>
      </c>
      <c r="E19" s="61" t="s">
        <v>144</v>
      </c>
    </row>
    <row r="21" customFormat="false" ht="15" hidden="false" customHeight="false" outlineLevel="0" collapsed="false">
      <c r="B21" s="59" t="s">
        <v>145</v>
      </c>
      <c r="D21" s="62" t="n">
        <v>0.8</v>
      </c>
    </row>
    <row r="23" customFormat="false" ht="15" hidden="false" customHeight="false" outlineLevel="0" collapsed="false">
      <c r="B23" s="58" t="s">
        <v>146</v>
      </c>
    </row>
    <row r="24" customFormat="false" ht="15" hidden="false" customHeight="false" outlineLevel="0" collapsed="false">
      <c r="B24" s="59" t="s">
        <v>147</v>
      </c>
      <c r="C24" s="63" t="n">
        <v>42282</v>
      </c>
    </row>
    <row r="25" customFormat="false" ht="15" hidden="false" customHeight="false" outlineLevel="0" collapsed="false">
      <c r="B25" s="59" t="s">
        <v>148</v>
      </c>
      <c r="C25" s="63" t="n">
        <v>44196</v>
      </c>
    </row>
    <row r="26" customFormat="false" ht="15" hidden="false" customHeight="false" outlineLevel="0" collapsed="false">
      <c r="B26" s="59" t="s">
        <v>149</v>
      </c>
      <c r="C26" s="63" t="n">
        <v>44197</v>
      </c>
    </row>
    <row r="27" customFormat="false" ht="15" hidden="false" customHeight="false" outlineLevel="0" collapsed="false">
      <c r="B27" s="59" t="s">
        <v>150</v>
      </c>
      <c r="C27" s="63" t="n">
        <v>45250</v>
      </c>
    </row>
    <row r="28" customFormat="false" ht="15" hidden="false" customHeight="false" outlineLevel="0" collapsed="false">
      <c r="B28" s="59" t="s">
        <v>151</v>
      </c>
      <c r="C28" s="63" t="n">
        <v>47483</v>
      </c>
    </row>
    <row r="29" customFormat="false" ht="15" hidden="false" customHeight="false" outlineLevel="0" collapsed="false">
      <c r="B29" s="59" t="s">
        <v>152</v>
      </c>
      <c r="C29" s="63" t="n">
        <v>46023</v>
      </c>
    </row>
    <row r="30" customFormat="false" ht="15" hidden="false" customHeight="false" outlineLevel="0" collapsed="false">
      <c r="B30" s="59" t="s">
        <v>153</v>
      </c>
      <c r="C30" s="63" t="n">
        <v>47483</v>
      </c>
    </row>
    <row r="32" customFormat="false" ht="15" hidden="false" customHeight="false" outlineLevel="0" collapsed="false">
      <c r="B32" s="58" t="s">
        <v>154</v>
      </c>
    </row>
    <row r="33" customFormat="false" ht="30" hidden="false" customHeight="true" outlineLevel="0" collapsed="false">
      <c r="B33" s="61" t="s">
        <v>155</v>
      </c>
      <c r="C33" s="60" t="n">
        <v>2</v>
      </c>
    </row>
    <row r="34" customFormat="false" ht="15" hidden="false" customHeight="false" outlineLevel="0" collapsed="false">
      <c r="B34" s="59" t="s">
        <v>156</v>
      </c>
      <c r="C34" s="60" t="n">
        <v>10</v>
      </c>
    </row>
    <row r="35" customFormat="false" ht="30" hidden="false" customHeight="true" outlineLevel="0" collapsed="false">
      <c r="B35" s="61" t="s">
        <v>157</v>
      </c>
      <c r="C35" s="60" t="n">
        <v>200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34"/>
    <col collapsed="false" customWidth="true" hidden="false" outlineLevel="0" max="3" min="3" style="14" width="44"/>
    <col collapsed="false" customWidth="true" hidden="false" outlineLevel="0" max="4" min="4" style="14" width="14"/>
    <col collapsed="false" customWidth="true" hidden="false" outlineLevel="0" max="5" min="5" style="14" width="18"/>
    <col collapsed="false" customWidth="true" hidden="false" outlineLevel="0" max="6" min="6" style="14" width="16"/>
    <col collapsed="false" customWidth="true" hidden="false" outlineLevel="0" max="8" min="7" style="14" width="18"/>
    <col collapsed="false" customWidth="true" hidden="false" outlineLevel="0" max="9" min="9" style="14" width="24"/>
  </cols>
  <sheetData>
    <row r="2" customFormat="false" ht="19.7" hidden="false" customHeight="false" outlineLevel="0" collapsed="false">
      <c r="B2" s="54" t="s">
        <v>158</v>
      </c>
    </row>
    <row r="3" customFormat="false" ht="15" hidden="false" customHeight="false" outlineLevel="0" collapsed="false">
      <c r="B3" s="17" t="s">
        <v>159</v>
      </c>
    </row>
    <row r="6" customFormat="false" ht="45" hidden="false" customHeight="true" outlineLevel="0" collapsed="false">
      <c r="B6" s="64" t="s">
        <v>160</v>
      </c>
      <c r="C6" s="64" t="s">
        <v>161</v>
      </c>
      <c r="D6" s="64" t="s">
        <v>19</v>
      </c>
      <c r="E6" s="64" t="s">
        <v>162</v>
      </c>
      <c r="F6" s="64" t="s">
        <v>163</v>
      </c>
      <c r="G6" s="64" t="s">
        <v>164</v>
      </c>
      <c r="H6" s="64" t="s">
        <v>165</v>
      </c>
      <c r="I6" s="64" t="s">
        <v>166</v>
      </c>
    </row>
    <row r="8" customFormat="false" ht="15" hidden="false" customHeight="false" outlineLevel="0" collapsed="false">
      <c r="B8" s="59" t="s">
        <v>167</v>
      </c>
      <c r="C8" s="59" t="s">
        <v>168</v>
      </c>
      <c r="D8" s="60" t="s">
        <v>169</v>
      </c>
      <c r="E8" s="60" t="s">
        <v>170</v>
      </c>
      <c r="F8" s="60" t="s">
        <v>48</v>
      </c>
      <c r="G8" s="65" t="n">
        <v>-20</v>
      </c>
      <c r="H8" s="65" t="n">
        <v>22</v>
      </c>
      <c r="I8" s="60" t="str">
        <f aca="false">D8&amp;E8&amp;F8</f>
        <v>GülleOffenNein</v>
      </c>
    </row>
    <row r="9" customFormat="false" ht="15" hidden="false" customHeight="false" outlineLevel="0" collapsed="false">
      <c r="B9" s="59" t="s">
        <v>167</v>
      </c>
      <c r="C9" s="59" t="s">
        <v>171</v>
      </c>
      <c r="D9" s="60" t="s">
        <v>169</v>
      </c>
      <c r="E9" s="60" t="s">
        <v>170</v>
      </c>
      <c r="F9" s="60" t="s">
        <v>35</v>
      </c>
      <c r="G9" s="65" t="n">
        <v>-35</v>
      </c>
      <c r="H9" s="65" t="n">
        <v>1</v>
      </c>
      <c r="I9" s="60" t="str">
        <f aca="false">D9&amp;E9&amp;F9</f>
        <v>GülleOffenJa</v>
      </c>
    </row>
    <row r="10" customFormat="false" ht="15" hidden="false" customHeight="false" outlineLevel="0" collapsed="false">
      <c r="B10" s="59" t="s">
        <v>167</v>
      </c>
      <c r="C10" s="59" t="s">
        <v>172</v>
      </c>
      <c r="D10" s="60" t="s">
        <v>169</v>
      </c>
      <c r="E10" s="60" t="s">
        <v>32</v>
      </c>
      <c r="F10" s="60" t="s">
        <v>48</v>
      </c>
      <c r="G10" s="65" t="n">
        <v>-88</v>
      </c>
      <c r="H10" s="65" t="n">
        <v>-79</v>
      </c>
      <c r="I10" s="60" t="str">
        <f aca="false">D10&amp;E10&amp;F10</f>
        <v>GülleGeschlossenNein</v>
      </c>
    </row>
    <row r="11" customFormat="false" ht="15" hidden="false" customHeight="false" outlineLevel="0" collapsed="false">
      <c r="B11" s="59" t="s">
        <v>167</v>
      </c>
      <c r="C11" s="59" t="s">
        <v>173</v>
      </c>
      <c r="D11" s="60" t="s">
        <v>169</v>
      </c>
      <c r="E11" s="60" t="s">
        <v>32</v>
      </c>
      <c r="F11" s="60" t="s">
        <v>35</v>
      </c>
      <c r="G11" s="65" t="n">
        <v>-103</v>
      </c>
      <c r="H11" s="65" t="n">
        <v>-100</v>
      </c>
      <c r="I11" s="60" t="str">
        <f aca="false">D11&amp;E11&amp;F11</f>
        <v>GülleGeschlossenJa</v>
      </c>
    </row>
    <row r="12" customFormat="false" ht="15" hidden="false" customHeight="false" outlineLevel="0" collapsed="false">
      <c r="B12" s="59" t="s">
        <v>174</v>
      </c>
      <c r="C12" s="59" t="s">
        <v>168</v>
      </c>
      <c r="D12" s="60" t="s">
        <v>175</v>
      </c>
      <c r="E12" s="60" t="s">
        <v>170</v>
      </c>
      <c r="F12" s="60" t="s">
        <v>48</v>
      </c>
      <c r="G12" s="65" t="n">
        <v>58</v>
      </c>
      <c r="H12" s="65" t="n">
        <v>73</v>
      </c>
      <c r="I12" s="60" t="str">
        <f aca="false">D12&amp;E12&amp;F12</f>
        <v>MaisOffenNein</v>
      </c>
    </row>
    <row r="13" customFormat="false" ht="15" hidden="false" customHeight="false" outlineLevel="0" collapsed="false">
      <c r="B13" s="59" t="s">
        <v>174</v>
      </c>
      <c r="C13" s="59" t="s">
        <v>171</v>
      </c>
      <c r="D13" s="60" t="s">
        <v>175</v>
      </c>
      <c r="E13" s="60" t="s">
        <v>170</v>
      </c>
      <c r="F13" s="60" t="s">
        <v>35</v>
      </c>
      <c r="G13" s="65" t="n">
        <v>43</v>
      </c>
      <c r="H13" s="65" t="n">
        <v>52</v>
      </c>
      <c r="I13" s="60" t="str">
        <f aca="false">D13&amp;E13&amp;F13</f>
        <v>MaisOffenJa</v>
      </c>
    </row>
    <row r="14" customFormat="false" ht="15" hidden="false" customHeight="false" outlineLevel="0" collapsed="false">
      <c r="B14" s="59" t="s">
        <v>174</v>
      </c>
      <c r="C14" s="59" t="s">
        <v>172</v>
      </c>
      <c r="D14" s="60" t="s">
        <v>175</v>
      </c>
      <c r="E14" s="60" t="s">
        <v>32</v>
      </c>
      <c r="F14" s="60" t="s">
        <v>48</v>
      </c>
      <c r="G14" s="65" t="n">
        <v>41</v>
      </c>
      <c r="H14" s="65" t="n">
        <v>51</v>
      </c>
      <c r="I14" s="60" t="str">
        <f aca="false">D14&amp;E14&amp;F14</f>
        <v>MaisGeschlossenNein</v>
      </c>
    </row>
    <row r="15" customFormat="false" ht="15" hidden="false" customHeight="false" outlineLevel="0" collapsed="false">
      <c r="B15" s="59" t="s">
        <v>174</v>
      </c>
      <c r="C15" s="59" t="s">
        <v>173</v>
      </c>
      <c r="D15" s="60" t="s">
        <v>175</v>
      </c>
      <c r="E15" s="60" t="s">
        <v>32</v>
      </c>
      <c r="F15" s="60" t="s">
        <v>35</v>
      </c>
      <c r="G15" s="65" t="n">
        <v>26</v>
      </c>
      <c r="H15" s="65" t="n">
        <v>30</v>
      </c>
      <c r="I15" s="60" t="str">
        <f aca="false">D15&amp;E15&amp;F15</f>
        <v>MaisGeschlossenJa</v>
      </c>
    </row>
    <row r="16" customFormat="false" ht="15" hidden="false" customHeight="false" outlineLevel="0" collapsed="false">
      <c r="B16" s="59" t="s">
        <v>176</v>
      </c>
      <c r="C16" s="59" t="s">
        <v>168</v>
      </c>
      <c r="D16" s="60" t="s">
        <v>27</v>
      </c>
      <c r="E16" s="60" t="s">
        <v>170</v>
      </c>
      <c r="F16" s="60" t="s">
        <v>48</v>
      </c>
      <c r="G16" s="65" t="n">
        <v>51</v>
      </c>
      <c r="H16" s="65" t="n">
        <v>71</v>
      </c>
      <c r="I16" s="60" t="str">
        <f aca="false">D16&amp;E16&amp;F16</f>
        <v>BioabfallOffenNein</v>
      </c>
    </row>
    <row r="17" customFormat="false" ht="15" hidden="false" customHeight="false" outlineLevel="0" collapsed="false">
      <c r="B17" s="59" t="s">
        <v>176</v>
      </c>
      <c r="C17" s="59" t="s">
        <v>171</v>
      </c>
      <c r="D17" s="60" t="s">
        <v>27</v>
      </c>
      <c r="E17" s="60" t="s">
        <v>170</v>
      </c>
      <c r="F17" s="60" t="s">
        <v>35</v>
      </c>
      <c r="G17" s="65" t="n">
        <v>36</v>
      </c>
      <c r="H17" s="65" t="n">
        <v>50</v>
      </c>
      <c r="I17" s="60" t="str">
        <f aca="false">D17&amp;E17&amp;F17</f>
        <v>BioabfallOffenJa</v>
      </c>
    </row>
    <row r="18" customFormat="false" ht="15" hidden="false" customHeight="false" outlineLevel="0" collapsed="false">
      <c r="B18" s="59" t="s">
        <v>176</v>
      </c>
      <c r="C18" s="59" t="s">
        <v>172</v>
      </c>
      <c r="D18" s="60" t="s">
        <v>27</v>
      </c>
      <c r="E18" s="60" t="s">
        <v>32</v>
      </c>
      <c r="F18" s="60" t="s">
        <v>48</v>
      </c>
      <c r="G18" s="65" t="n">
        <v>25</v>
      </c>
      <c r="H18" s="65" t="n">
        <v>35</v>
      </c>
      <c r="I18" s="60" t="str">
        <f aca="false">D18&amp;E18&amp;F18</f>
        <v>BioabfallGeschlossenNein</v>
      </c>
    </row>
    <row r="19" customFormat="false" ht="15" hidden="false" customHeight="false" outlineLevel="0" collapsed="false">
      <c r="B19" s="59" t="s">
        <v>176</v>
      </c>
      <c r="C19" s="59" t="s">
        <v>173</v>
      </c>
      <c r="D19" s="60" t="s">
        <v>27</v>
      </c>
      <c r="E19" s="60" t="s">
        <v>32</v>
      </c>
      <c r="F19" s="60" t="s">
        <v>35</v>
      </c>
      <c r="G19" s="65" t="n">
        <v>10</v>
      </c>
      <c r="H19" s="65" t="n">
        <v>14</v>
      </c>
      <c r="I19" s="60" t="str">
        <f aca="false">D19&amp;E19&amp;F19</f>
        <v>BioabfallGeschlossenJa</v>
      </c>
    </row>
    <row r="22" customFormat="false" ht="15" hidden="false" customHeight="false" outlineLevel="0" collapsed="false">
      <c r="B22" s="58" t="s">
        <v>177</v>
      </c>
    </row>
    <row r="23" customFormat="false" ht="31.5" hidden="false" customHeight="true" outlineLevel="0" collapsed="false">
      <c r="B23" s="64" t="s">
        <v>19</v>
      </c>
      <c r="C23" s="64" t="s">
        <v>178</v>
      </c>
      <c r="D23" s="64" t="s">
        <v>179</v>
      </c>
    </row>
    <row r="24" customFormat="false" ht="15" hidden="false" customHeight="false" outlineLevel="0" collapsed="false">
      <c r="B24" s="59" t="s">
        <v>169</v>
      </c>
      <c r="C24" s="66" t="n">
        <v>0.5</v>
      </c>
      <c r="D24" s="66" t="n">
        <v>0.9</v>
      </c>
    </row>
    <row r="25" customFormat="false" ht="15" hidden="false" customHeight="false" outlineLevel="0" collapsed="false">
      <c r="B25" s="59" t="s">
        <v>175</v>
      </c>
      <c r="C25" s="66" t="n">
        <v>4.16</v>
      </c>
      <c r="D25" s="66" t="n">
        <v>0.65</v>
      </c>
    </row>
    <row r="26" customFormat="false" ht="15" hidden="false" customHeight="false" outlineLevel="0" collapsed="false">
      <c r="B26" s="59" t="s">
        <v>27</v>
      </c>
      <c r="C26" s="66" t="n">
        <v>3.41</v>
      </c>
      <c r="D26" s="66" t="n">
        <v>0.76</v>
      </c>
    </row>
    <row r="28" customFormat="false" ht="15" hidden="false" customHeight="false" outlineLevel="0" collapsed="false">
      <c r="B28" s="58" t="s">
        <v>180</v>
      </c>
    </row>
    <row r="29" customFormat="false" ht="15" hidden="false" customHeight="false" outlineLevel="0" collapsed="false">
      <c r="B29" s="59" t="s">
        <v>181</v>
      </c>
      <c r="C29" s="67" t="n">
        <v>3.3</v>
      </c>
    </row>
    <row r="30" customFormat="false" ht="15" hidden="false" customHeight="false" outlineLevel="0" collapsed="false">
      <c r="B30" s="59" t="s">
        <v>182</v>
      </c>
      <c r="C30" s="67" t="n">
        <v>4.6</v>
      </c>
    </row>
    <row r="32" customFormat="false" ht="15" hidden="false" customHeight="false" outlineLevel="0" collapsed="false">
      <c r="B32" s="58" t="s">
        <v>183</v>
      </c>
    </row>
    <row r="33" customFormat="false" ht="15" hidden="false" customHeight="false" outlineLevel="0" collapsed="false">
      <c r="B33" s="59" t="s">
        <v>184</v>
      </c>
      <c r="C33" s="60" t="n">
        <v>1</v>
      </c>
    </row>
    <row r="34" customFormat="false" ht="15" hidden="false" customHeight="false" outlineLevel="0" collapsed="false">
      <c r="B34" s="59" t="s">
        <v>185</v>
      </c>
      <c r="C34" s="68" t="n">
        <v>0.3546</v>
      </c>
    </row>
    <row r="35" customFormat="false" ht="15" hidden="false" customHeight="false" outlineLevel="0" collapsed="false">
      <c r="B35" s="59" t="s">
        <v>186</v>
      </c>
      <c r="C35" s="66" t="n">
        <v>273.15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4" width="3"/>
    <col collapsed="false" customWidth="true" hidden="false" outlineLevel="0" max="2" min="2" style="14" width="52"/>
    <col collapsed="false" customWidth="true" hidden="false" outlineLevel="0" max="3" min="3" style="14" width="22"/>
    <col collapsed="false" customWidth="true" hidden="false" outlineLevel="0" max="4" min="4" style="14" width="16"/>
    <col collapsed="false" customWidth="true" hidden="false" outlineLevel="0" max="5" min="5" style="14" width="14"/>
    <col collapsed="false" customWidth="true" hidden="false" outlineLevel="0" max="12" min="6" style="14" width="12"/>
  </cols>
  <sheetData>
    <row r="2" customFormat="false" ht="19.7" hidden="false" customHeight="false" outlineLevel="0" collapsed="false">
      <c r="B2" s="54" t="s">
        <v>187</v>
      </c>
    </row>
    <row r="5" customFormat="false" ht="15" hidden="false" customHeight="false" outlineLevel="0" collapsed="false">
      <c r="B5" s="55" t="s">
        <v>19</v>
      </c>
      <c r="C5" s="55" t="s">
        <v>188</v>
      </c>
      <c r="D5" s="55" t="s">
        <v>189</v>
      </c>
      <c r="E5" s="55" t="s">
        <v>190</v>
      </c>
      <c r="F5" s="55" t="s">
        <v>191</v>
      </c>
      <c r="G5" s="55" t="s">
        <v>192</v>
      </c>
      <c r="H5" s="55" t="s">
        <v>193</v>
      </c>
      <c r="I5" s="55" t="s">
        <v>194</v>
      </c>
      <c r="J5" s="55" t="s">
        <v>195</v>
      </c>
      <c r="K5" s="55" t="s">
        <v>196</v>
      </c>
      <c r="L5" s="55" t="s">
        <v>197</v>
      </c>
    </row>
    <row r="6" customFormat="false" ht="15" hidden="false" customHeight="false" outlineLevel="0" collapsed="false">
      <c r="B6" s="59" t="s">
        <v>169</v>
      </c>
      <c r="C6" s="60" t="str">
        <f aca="false">B6&amp;Eingabe!$E$18&amp;Eingabe!$E$19</f>
        <v>GülleGeschlossenJa</v>
      </c>
      <c r="D6" s="65" t="n">
        <f aca="false">IF(Eingabe!$E$20=Liste!$F$5,INDEX(REDIII!$H$8:$H$19,MATCH(C6,REDIII!$I$8:$I$19,0)),INDEX(REDIII!$G$8:$G$19,MATCH(C6,REDIII!$I$8:$I$19,0)))</f>
        <v>-100</v>
      </c>
      <c r="E6" s="69" t="n">
        <f aca="false">MAX(0,N(Eingabe!E9))</f>
        <v>8000</v>
      </c>
      <c r="F6" s="70" t="n">
        <f aca="false">IF(Eingabe!F9="",G6,Eingabe!F9/100)</f>
        <v>0.9</v>
      </c>
      <c r="G6" s="66" t="n">
        <f aca="false">REDIII!D24</f>
        <v>0.9</v>
      </c>
      <c r="H6" s="66" t="n">
        <f aca="false">REDIII!C24</f>
        <v>0.5</v>
      </c>
      <c r="I6" s="68" t="n">
        <f aca="false">IF($C$12&gt;0,E6/$C$12*(1-F6)/(1-G6),0)</f>
        <v>0.8</v>
      </c>
      <c r="J6" s="68" t="n">
        <f aca="false">H6*I6</f>
        <v>0.4</v>
      </c>
      <c r="K6" s="68" t="n">
        <f aca="false">IF($C$13&gt;0,J6/$C$13,0)</f>
        <v>0.324675324675325</v>
      </c>
      <c r="L6" s="66" t="n">
        <f aca="false">K6*D6</f>
        <v>-32.4675324675325</v>
      </c>
    </row>
    <row r="7" customFormat="false" ht="15" hidden="false" customHeight="false" outlineLevel="0" collapsed="false">
      <c r="B7" s="59" t="s">
        <v>175</v>
      </c>
      <c r="C7" s="60" t="str">
        <f aca="false">B7&amp;Eingabe!$E$18&amp;Eingabe!$E$19</f>
        <v>MaisGeschlossenJa</v>
      </c>
      <c r="D7" s="65" t="n">
        <f aca="false">IF(Eingabe!$E$20=Liste!$F$5,INDEX(REDIII!$H$8:$H$19,MATCH(C7,REDIII!$I$8:$I$19,0)),INDEX(REDIII!$G$8:$G$19,MATCH(C7,REDIII!$I$8:$I$19,0)))</f>
        <v>30</v>
      </c>
      <c r="E7" s="69" t="n">
        <f aca="false">MAX(0,N(Eingabe!E10))</f>
        <v>2000</v>
      </c>
      <c r="F7" s="70" t="n">
        <f aca="false">IF(Eingabe!F10="",G7,Eingabe!F10/100)</f>
        <v>0.65</v>
      </c>
      <c r="G7" s="66" t="n">
        <f aca="false">REDIII!D25</f>
        <v>0.65</v>
      </c>
      <c r="H7" s="66" t="n">
        <f aca="false">REDIII!C25</f>
        <v>4.16</v>
      </c>
      <c r="I7" s="68" t="n">
        <f aca="false">IF($C$12&gt;0,E7/$C$12*(1-F7)/(1-G7),0)</f>
        <v>0.2</v>
      </c>
      <c r="J7" s="68" t="n">
        <f aca="false">H7*I7</f>
        <v>0.832</v>
      </c>
      <c r="K7" s="68" t="n">
        <f aca="false">IF($C$13&gt;0,J7/$C$13,0)</f>
        <v>0.675324675324675</v>
      </c>
      <c r="L7" s="66" t="n">
        <f aca="false">K7*D7</f>
        <v>20.2597402597403</v>
      </c>
    </row>
    <row r="8" customFormat="false" ht="15" hidden="false" customHeight="false" outlineLevel="0" collapsed="false">
      <c r="B8" s="59" t="s">
        <v>27</v>
      </c>
      <c r="C8" s="60" t="str">
        <f aca="false">B8&amp;Eingabe!$E$18&amp;Eingabe!$E$19</f>
        <v>BioabfallGeschlossenJa</v>
      </c>
      <c r="D8" s="65" t="n">
        <f aca="false">IF(Eingabe!$E$20=Liste!$F$5,INDEX(REDIII!$H$8:$H$19,MATCH(C8,REDIII!$I$8:$I$19,0)),INDEX(REDIII!$G$8:$G$19,MATCH(C8,REDIII!$I$8:$I$19,0)))</f>
        <v>14</v>
      </c>
      <c r="E8" s="69" t="n">
        <f aca="false">MAX(0,N(Eingabe!E11))</f>
        <v>0</v>
      </c>
      <c r="F8" s="70" t="n">
        <f aca="false">IF(Eingabe!F11="",G8,Eingabe!F11/100)</f>
        <v>0.76</v>
      </c>
      <c r="G8" s="66" t="n">
        <f aca="false">REDIII!D26</f>
        <v>0.76</v>
      </c>
      <c r="H8" s="66" t="n">
        <f aca="false">REDIII!C26</f>
        <v>3.41</v>
      </c>
      <c r="I8" s="68" t="n">
        <f aca="false">IF($C$12&gt;0,E8/$C$12*(1-F8)/(1-G8),0)</f>
        <v>0</v>
      </c>
      <c r="J8" s="68" t="n">
        <f aca="false">H8*I8</f>
        <v>0</v>
      </c>
      <c r="K8" s="68" t="n">
        <f aca="false">IF($C$13&gt;0,J8/$C$13,0)</f>
        <v>0</v>
      </c>
      <c r="L8" s="66" t="n">
        <f aca="false">K8*D8</f>
        <v>0</v>
      </c>
    </row>
    <row r="12" customFormat="false" ht="15" hidden="false" customHeight="false" outlineLevel="0" collapsed="false">
      <c r="B12" s="59" t="s">
        <v>198</v>
      </c>
      <c r="C12" s="69" t="n">
        <f aca="false">SUM(E6:E8)</f>
        <v>10000</v>
      </c>
    </row>
    <row r="13" customFormat="false" ht="15" hidden="false" customHeight="false" outlineLevel="0" collapsed="false">
      <c r="B13" s="59" t="s">
        <v>199</v>
      </c>
      <c r="C13" s="68" t="n">
        <f aca="false">SUM(J6:J8)</f>
        <v>1.232</v>
      </c>
    </row>
    <row r="14" customFormat="false" ht="15" hidden="false" customHeight="false" outlineLevel="0" collapsed="false">
      <c r="B14" s="59" t="s">
        <v>200</v>
      </c>
      <c r="C14" s="66" t="n">
        <f aca="false">IF(C13&gt;0,SUM(L6:L8),"")</f>
        <v>-12.2077922077922</v>
      </c>
      <c r="D14" s="71" t="s">
        <v>85</v>
      </c>
    </row>
    <row r="15" customFormat="false" ht="15" hidden="false" customHeight="false" outlineLevel="0" collapsed="false">
      <c r="B15" s="59" t="s">
        <v>201</v>
      </c>
      <c r="C15" s="67" t="n">
        <f aca="false">IF(C40,IF(Eingabe!$E$20=Liste!$F$5,REDIII!C30,REDIII!C29),0)</f>
        <v>0</v>
      </c>
      <c r="D15" s="71" t="s">
        <v>89</v>
      </c>
    </row>
    <row r="16" customFormat="false" ht="15" hidden="false" customHeight="false" outlineLevel="0" collapsed="false">
      <c r="B16" s="59" t="s">
        <v>202</v>
      </c>
      <c r="C16" s="66" t="n">
        <f aca="false">IF(ISNUMBER(C14),C14+C15,"")</f>
        <v>-12.2077922077922</v>
      </c>
    </row>
    <row r="18" customFormat="false" ht="15" hidden="false" customHeight="false" outlineLevel="0" collapsed="false">
      <c r="B18" s="59" t="s">
        <v>203</v>
      </c>
      <c r="C18" s="70" t="n">
        <f aca="false">N(Eingabe!E27)/100</f>
        <v>0.4</v>
      </c>
    </row>
    <row r="19" customFormat="false" ht="15" hidden="false" customHeight="false" outlineLevel="0" collapsed="false">
      <c r="B19" s="59" t="s">
        <v>204</v>
      </c>
      <c r="C19" s="70" t="n">
        <f aca="false">IF(C42,N(Eingabe!E29),N(Eingabe!E28))/100</f>
        <v>0.45</v>
      </c>
    </row>
    <row r="20" customFormat="false" ht="15" hidden="false" customHeight="false" outlineLevel="0" collapsed="false">
      <c r="B20" s="59" t="s">
        <v>205</v>
      </c>
      <c r="C20" s="66" t="n">
        <f aca="false">N(Eingabe!E30)+REDIII!C35</f>
        <v>363.15</v>
      </c>
    </row>
    <row r="21" customFormat="false" ht="15" hidden="false" customHeight="false" outlineLevel="0" collapsed="false">
      <c r="B21" s="59" t="s">
        <v>206</v>
      </c>
      <c r="C21" s="68" t="n">
        <f aca="false">IF(AND(Eingabe!E31="Ja",N(Eingabe!E30)&lt;150),REDIII!C34,IF(C20&gt;REDIII!C35,(C20-REDIII!C35)/C20,0))</f>
        <v>0.247831474597274</v>
      </c>
      <c r="D21" s="71" t="s">
        <v>207</v>
      </c>
    </row>
    <row r="22" customFormat="false" ht="15" hidden="false" customHeight="false" outlineLevel="0" collapsed="false">
      <c r="B22" s="59" t="s">
        <v>208</v>
      </c>
      <c r="C22" s="68" t="n">
        <f aca="false">IF(REDIII!C33*C18+C21*C19&gt;0,REDIII!C33*C18/(REDIII!C33*C18+C21*C19),0)</f>
        <v>0.781976744186047</v>
      </c>
    </row>
    <row r="23" customFormat="false" ht="15" hidden="false" customHeight="false" outlineLevel="0" collapsed="false">
      <c r="B23" s="59" t="s">
        <v>209</v>
      </c>
      <c r="C23" s="68" t="n">
        <f aca="false">IF(REDIII!C33*C18+C21*C19&gt;0,C21*C19/(REDIII!C33*C18+C21*C19),0)</f>
        <v>0.218023255813954</v>
      </c>
    </row>
    <row r="24" customFormat="false" ht="15" hidden="false" customHeight="false" outlineLevel="0" collapsed="false">
      <c r="B24" s="59" t="s">
        <v>210</v>
      </c>
      <c r="C24" s="66" t="n">
        <f aca="false">IF(AND(C18&gt;0,ISNUMBER(C16)),IF(C41,C16/C18,IF(C43,C16/C18*C22,"")),"")</f>
        <v>-23.8655240108728</v>
      </c>
    </row>
    <row r="25" customFormat="false" ht="15" hidden="false" customHeight="false" outlineLevel="0" collapsed="false">
      <c r="B25" s="59" t="s">
        <v>211</v>
      </c>
      <c r="C25" s="66" t="n">
        <f aca="false">IF(AND(C19&gt;0,ISNUMBER(C16)),IF(C42,C16/C19,IF(C43,C16/C19*C23,"")),"")</f>
        <v>-5.91462800765126</v>
      </c>
    </row>
    <row r="27" customFormat="false" ht="15" hidden="false" customHeight="false" outlineLevel="0" collapsed="false">
      <c r="B27" s="59" t="s">
        <v>212</v>
      </c>
      <c r="C27" s="65" t="n">
        <f aca="false">Grenzwerte!C5</f>
        <v>94</v>
      </c>
    </row>
    <row r="28" customFormat="false" ht="15" hidden="false" customHeight="false" outlineLevel="0" collapsed="false">
      <c r="B28" s="59" t="s">
        <v>213</v>
      </c>
      <c r="C28" s="65" t="n">
        <f aca="false">Grenzwerte!C6</f>
        <v>183</v>
      </c>
    </row>
    <row r="29" customFormat="false" ht="15" hidden="false" customHeight="false" outlineLevel="0" collapsed="false">
      <c r="B29" s="59" t="s">
        <v>214</v>
      </c>
      <c r="C29" s="65" t="n">
        <f aca="false">IF(Eingabe!E32="Ja",Grenzwerte!C8,Grenzwerte!C7)</f>
        <v>80</v>
      </c>
    </row>
    <row r="31" customFormat="false" ht="15" hidden="false" customHeight="false" outlineLevel="0" collapsed="false">
      <c r="B31" s="59" t="s">
        <v>215</v>
      </c>
      <c r="C31" s="63" t="n">
        <f aca="false">Eingabe!E36</f>
        <v>45352</v>
      </c>
    </row>
    <row r="32" customFormat="false" ht="15" hidden="false" customHeight="false" outlineLevel="0" collapsed="false">
      <c r="B32" s="59" t="s">
        <v>216</v>
      </c>
      <c r="C32" s="67" t="n">
        <f aca="false">N(Eingabe!E37)</f>
        <v>5</v>
      </c>
    </row>
    <row r="33" customFormat="false" ht="15" hidden="false" customHeight="false" outlineLevel="0" collapsed="false">
      <c r="B33" s="59" t="s">
        <v>55</v>
      </c>
      <c r="C33" s="63" t="n">
        <f aca="true">IF(Eingabe!E39="",TODAY(),Eingabe!E39)</f>
        <v>46303</v>
      </c>
    </row>
    <row r="34" customFormat="false" ht="15" hidden="false" customHeight="false" outlineLevel="0" collapsed="false">
      <c r="B34" s="59" t="s">
        <v>217</v>
      </c>
      <c r="C34" s="63" t="n">
        <f aca="false">IF(C31="","",EDATE(C31,180))</f>
        <v>50830</v>
      </c>
    </row>
    <row r="35" customFormat="false" ht="15" hidden="false" customHeight="false" outlineLevel="0" collapsed="false">
      <c r="B35" s="59" t="s">
        <v>218</v>
      </c>
      <c r="C35" s="62" t="n">
        <f aca="false">IF(C31="","",IF(C31&lt;=Grenzwerte!C24,Grenzwerte!D12,IF(C31&lt;=Grenzwerte!C25,Grenzwerte!D13,Grenzwerte!D14)))</f>
        <v>0.65</v>
      </c>
    </row>
    <row r="36" customFormat="false" ht="15" hidden="false" customHeight="false" outlineLevel="0" collapsed="false">
      <c r="B36" s="59" t="s">
        <v>219</v>
      </c>
      <c r="C36" s="60" t="str">
        <f aca="false">IF(C31="","",IF(C31&lt;=Grenzwerte!C24,"a",IF(C31&lt;=Grenzwerte!C25,"b","c")))</f>
        <v>c</v>
      </c>
    </row>
    <row r="37" customFormat="false" ht="15" hidden="false" customHeight="false" outlineLevel="0" collapsed="false">
      <c r="B37" s="59" t="s">
        <v>220</v>
      </c>
      <c r="C37" s="60" t="str">
        <f aca="false">IF(C31="","",IF(C31&gt;Grenzwerte!C27,"d",IF(C31&gt;=Grenzwerte!C26,IF(C32&gt;=Grenzwerte!C34,"e","f"),IF(C32&gt;=Grenzwerte!C34,"g","h"))))</f>
        <v>d</v>
      </c>
    </row>
    <row r="38" customFormat="false" ht="15" hidden="false" customHeight="false" outlineLevel="0" collapsed="false">
      <c r="B38" s="59" t="s">
        <v>221</v>
      </c>
      <c r="C38" s="63" t="str">
        <f aca="false">IF(C37="e",Grenzwerte!C28+1,IF(C37="f",C34,IF(C37="g",MIN(MAX(C34,Grenzwerte!C29),Grenzwerte!C30),IF(C37="h",MAX(C34,Grenzwerte!C29),""))))</f>
        <v/>
      </c>
    </row>
    <row r="39" customFormat="false" ht="15" hidden="false" customHeight="false" outlineLevel="0" collapsed="false">
      <c r="B39" s="59" t="s">
        <v>222</v>
      </c>
      <c r="C39" s="62" t="n">
        <f aca="false">IF(C37="","",IF(C37="d",Grenzwerte!D15,IF(OR(C37="e",C37="f"),IF(C33&gt;=C38,Grenzwerte!D21,Grenzwerte!D16),IF(C33&gt;=C38,Grenzwerte!D21,"keine"))))</f>
        <v>0.8</v>
      </c>
      <c r="D39" s="71" t="s">
        <v>223</v>
      </c>
    </row>
    <row r="40" customFormat="false" ht="15" hidden="false" customHeight="false" outlineLevel="0" collapsed="false">
      <c r="B40" s="59" t="s">
        <v>224</v>
      </c>
      <c r="C40" s="72" t="b">
        <f aca="false">Eingabe!E26=Liste!$H$5</f>
        <v>0</v>
      </c>
    </row>
    <row r="41" customFormat="false" ht="15" hidden="false" customHeight="false" outlineLevel="0" collapsed="false">
      <c r="B41" s="59" t="s">
        <v>225</v>
      </c>
      <c r="C41" s="72" t="b">
        <f aca="false">Eingabe!E26=Liste!$H$6</f>
        <v>0</v>
      </c>
    </row>
    <row r="42" customFormat="false" ht="15" hidden="false" customHeight="false" outlineLevel="0" collapsed="false">
      <c r="B42" s="59" t="s">
        <v>226</v>
      </c>
      <c r="C42" s="72" t="b">
        <f aca="false">Eingabe!E26=Liste!$H$7</f>
        <v>0</v>
      </c>
    </row>
    <row r="43" customFormat="false" ht="15" hidden="false" customHeight="false" outlineLevel="0" collapsed="false">
      <c r="B43" s="59" t="s">
        <v>227</v>
      </c>
      <c r="C43" s="72" t="b">
        <f aca="false">Eingabe!E26=Liste!$H$8</f>
        <v>1</v>
      </c>
    </row>
    <row r="44" customFormat="false" ht="15" hidden="false" customHeight="false" outlineLevel="0" collapsed="false">
      <c r="B44" s="59" t="s">
        <v>228</v>
      </c>
      <c r="C44" s="72" t="b">
        <f aca="false">OR(Eingabe!E21="Ja",E7=0)</f>
        <v>1</v>
      </c>
      <c r="D44" s="71" t="s">
        <v>229</v>
      </c>
    </row>
    <row r="45" customFormat="false" ht="15" hidden="false" customHeight="false" outlineLevel="0" collapsed="false">
      <c r="B45" s="59" t="s">
        <v>230</v>
      </c>
      <c r="C45" s="72" t="b">
        <f aca="false">Eingabe!E20=Liste!$F$5</f>
        <v>1</v>
      </c>
    </row>
    <row r="46" customFormat="false" ht="15" hidden="false" customHeight="false" outlineLevel="0" collapsed="false">
      <c r="B46" s="59" t="s">
        <v>231</v>
      </c>
      <c r="C46" s="72" t="b">
        <f aca="false">C32&gt;=Grenzwerte!C33</f>
        <v>1</v>
      </c>
      <c r="D46" s="71" t="s">
        <v>232</v>
      </c>
    </row>
    <row r="47" customFormat="false" ht="15" hidden="false" customHeight="false" outlineLevel="0" collapsed="false">
      <c r="B47" s="59" t="s">
        <v>233</v>
      </c>
      <c r="C47" s="72" t="b">
        <f aca="false">N(Eingabe!E38)&gt;Grenzwerte!C35</f>
        <v>1</v>
      </c>
      <c r="D47" s="71" t="s">
        <v>234</v>
      </c>
    </row>
    <row r="49" customFormat="false" ht="15" hidden="false" customHeight="false" outlineLevel="0" collapsed="false">
      <c r="B49" s="55" t="s">
        <v>235</v>
      </c>
      <c r="C49" s="55" t="s">
        <v>236</v>
      </c>
      <c r="D49" s="55" t="s">
        <v>237</v>
      </c>
      <c r="E49" s="55" t="s">
        <v>238</v>
      </c>
      <c r="F49" s="55" t="s">
        <v>239</v>
      </c>
      <c r="G49" s="55" t="s">
        <v>123</v>
      </c>
      <c r="H49" s="55" t="s">
        <v>63</v>
      </c>
    </row>
    <row r="50" customFormat="false" ht="15" hidden="false" customHeight="false" outlineLevel="0" collapsed="false">
      <c r="B50" s="59" t="s">
        <v>240</v>
      </c>
      <c r="C50" s="72" t="b">
        <f aca="false">C40</f>
        <v>0</v>
      </c>
      <c r="D50" s="67" t="str">
        <f aca="false">IF(AND(C50,ISNUMBER(C16)),C16,"–")</f>
        <v>–</v>
      </c>
      <c r="E50" s="65" t="str">
        <f aca="false">IF(C50,C27,"–")</f>
        <v>–</v>
      </c>
      <c r="F50" s="73" t="str">
        <f aca="false">IF(ISNUMBER(D50),(E50-D50)/E50,"–")</f>
        <v>–</v>
      </c>
      <c r="G50" s="62" t="str">
        <f aca="false">IF(C50,IFERROR(C35,"–"),"–")</f>
        <v>–</v>
      </c>
      <c r="H50" s="60" t="str">
        <f aca="false">IF(NOT(C50),"–",IF(NOT(ISNUMBER(F50)),"Eingaben unvollständig",IF(G50="keine","keine Mindesteinsparung zum Stichtag",IF(NOT(ISNUMBER(G50)),"Inbetriebnahme fehlt",IF(F50&gt;=G50,"eingehalten","nicht eingehalten")&amp;IF(NOT($C$45)," (nur indikativ)",IF(NOT($C$44)," (Standardwert unzulässig)",""))))))</f>
        <v>–</v>
      </c>
    </row>
    <row r="51" customFormat="false" ht="15" hidden="false" customHeight="false" outlineLevel="0" collapsed="false">
      <c r="B51" s="59" t="s">
        <v>65</v>
      </c>
      <c r="C51" s="72" t="b">
        <f aca="false">OR(C41,C43)</f>
        <v>1</v>
      </c>
      <c r="D51" s="67" t="n">
        <f aca="false">IF(AND(C51,ISNUMBER(C24)),C24,"–")</f>
        <v>-23.8655240108728</v>
      </c>
      <c r="E51" s="65" t="n">
        <f aca="false">IF(C51,C28,"–")</f>
        <v>183</v>
      </c>
      <c r="F51" s="73" t="n">
        <f aca="false">IF(ISNUMBER(D51),(E51-D51)/E51,"–")</f>
        <v>1.13041269951297</v>
      </c>
      <c r="G51" s="62" t="n">
        <f aca="false">IF(C51,IFERROR(C39,"–"),"–")</f>
        <v>0.8</v>
      </c>
      <c r="H51" s="60" t="str">
        <f aca="false">IF(NOT(C51),"–",IF(NOT(ISNUMBER(F51)),"Eingaben unvollständig",IF(G51="keine","keine Mindesteinsparung zum Stichtag",IF(NOT(ISNUMBER(G51)),"Inbetriebnahme fehlt",IF(F51&gt;=G51,"eingehalten","nicht eingehalten")&amp;IF(NOT($C$45)," (nur indikativ)",IF(NOT($C$44)," (Standardwert unzulässig)",""))))))</f>
        <v>eingehalten</v>
      </c>
    </row>
    <row r="52" customFormat="false" ht="15" hidden="false" customHeight="false" outlineLevel="0" collapsed="false">
      <c r="B52" s="59" t="s">
        <v>241</v>
      </c>
      <c r="C52" s="72" t="b">
        <f aca="false">OR(C42,C43)</f>
        <v>1</v>
      </c>
      <c r="D52" s="67" t="n">
        <f aca="false">IF(AND(C52,ISNUMBER(C25)),C25,"–")</f>
        <v>-5.91462800765126</v>
      </c>
      <c r="E52" s="65" t="n">
        <f aca="false">IF(C52,C29,"–")</f>
        <v>80</v>
      </c>
      <c r="F52" s="73" t="n">
        <f aca="false">IF(ISNUMBER(D52),(E52-D52)/E52,"–")</f>
        <v>1.07393285009564</v>
      </c>
      <c r="G52" s="62" t="n">
        <f aca="false">IF(C52,IFERROR(C39,"–"),"–")</f>
        <v>0.8</v>
      </c>
      <c r="H52" s="60" t="str">
        <f aca="false">IF(NOT(C52),"–",IF(NOT(ISNUMBER(F52)),"Eingaben unvollständig",IF(G52="keine","keine Mindesteinsparung zum Stichtag",IF(NOT(ISNUMBER(G52)),"Inbetriebnahme fehlt",IF(F52&gt;=G52,"eingehalten","nicht eingehalten")&amp;IF(NOT($C$45)," (nur indikativ)",IF(NOT($C$44)," (Standardwert unzulässig)",""))))))</f>
        <v>eingehalten</v>
      </c>
    </row>
    <row r="60" customFormat="false" ht="15" hidden="false" customHeight="false" outlineLevel="0" collapsed="false">
      <c r="B60" s="74" t="s">
        <v>242</v>
      </c>
      <c r="C60" s="75" t="str">
        <f aca="false">IF(ISNUMBER(C16),"THG-Emissionen: "&amp;FIXED(C16,1)&amp;" g CO2-Äq/MJ Biomethan"&amp;IF(ISNUMBER(F50)," | Einsparung Verkehr: "&amp;FIXED(F50*100,1)&amp;" %","")&amp;IF(ISNUMBER(F51)," | Einsparung Strom: "&amp;FIXED(F51*100,1)&amp;" %","")&amp;IF(ISNUMBER(F52)," | Einsparung Wärme: "&amp;FIXED(F52*100,1)&amp;" %",""),"Bitte Eingaben in Abschnitt 1 vervollständigen.")</f>
        <v>THG-Emissionen: -12.2 g CO2-Äq/MJ Biomethan | Einsparung Strom: 113.0 % | Einsparung Wärme: 107.4 %</v>
      </c>
    </row>
    <row r="61" customFormat="false" ht="15" hidden="false" customHeight="false" outlineLevel="0" collapsed="false">
      <c r="B61" s="74" t="s">
        <v>67</v>
      </c>
      <c r="C61" s="75" t="str">
        <f aca="false">IF(C31="","Bitte Datum der Inbetriebnahme eingeben.",IF(C40,"Art. 29 Abs. 10 lit. "&amp;C36&amp;": Mindesteinsparung "&amp;FIXED(C35*100,0)&amp;" % (Verkehr, Betriebsaufnahme "&amp;RIGHT("0"&amp;DAY(C31),2)&amp;"."&amp;RIGHT("0"&amp;MONTH(C31),2)&amp;"."&amp;YEAR(C31)&amp;")","Art. 29 Abs. 10 lit. "&amp;C37&amp;IF(C37="d",": 80 % ab Inbetriebnahme",IF(C37="e",": 70 % bis 31.12.2029, 80 % ab 01.01.2030",IF(C37="f",": 70 % bis Ende des 15. Betriebsjahres, danach 80 % (ab "&amp;RIGHT("0"&amp;DAY(C38),2)&amp;"."&amp;RIGHT("0"&amp;MONTH(C38),2)&amp;"."&amp;YEAR(C38)&amp;")",": keine Mindesteinsparung bis "&amp;RIGHT("0"&amp;DAY(C38-1),2)&amp;"."&amp;RIGHT("0"&amp;MONTH(C38-1),2)&amp;"."&amp;YEAR(C38-1)&amp;", danach 80 %")))))</f>
        <v>Art. 29 Abs. 10 lit. d: 80 % ab Inbetriebnahme</v>
      </c>
    </row>
    <row r="62" customFormat="false" ht="15" hidden="false" customHeight="false" outlineLevel="0" collapsed="false">
      <c r="B62" s="74" t="s">
        <v>5</v>
      </c>
      <c r="C62" s="75" t="str">
        <f aca="false">IF(C40,"Verkehr: Biomethan-Produktionsanlage "&amp;IF(N(Eingabe!E38)=0,"– Durchflussrate nicht angegeben (Schwelle 200 m³/h CH4-Äq, lit. c).",IF(C47,"&gt; 200 m³/h CH4-Äq: von den Kriterien erfasst (lit. c).","≤ 200 m³/h CH4-Äq: nach lit. c nicht erfasst – Mitgliedstaaten können strengere Regeln vorsehen.")),IF(C46,"Nutzungsanlage ≥ 2 MW: von den Kriterien erfasst (lit. b).",IF(C47,"Nutzungsanlage &lt; 2 MW, aber Produktionsanlage &gt; 200 m³/h: über lit. c erfasst.","Nutzungsanlage &lt; 2 MW (lit. b) und Produktionsanlage nicht &gt; 200 m³/h: nicht erfasst, sofern Leistung korrekt angegeben.")))</f>
        <v>Nutzungsanlage ≥ 2 MW: von den Kriterien erfasst (lit. b).</v>
      </c>
    </row>
    <row r="64" customFormat="false" ht="15" hidden="false" customHeight="false" outlineLevel="0" collapsed="false">
      <c r="B64" s="74" t="s">
        <v>243</v>
      </c>
    </row>
    <row r="65" customFormat="false" ht="15" hidden="false" customHeight="false" outlineLevel="0" collapsed="false">
      <c r="C65" s="75" t="str">
        <f aca="false">IF(C12&lt;=0,"Bitte in Abschnitt 1 mindestens eine Substratmenge &gt; 0 eingeben.","")</f>
        <v/>
      </c>
    </row>
    <row r="66" customFormat="false" ht="15" hidden="false" customHeight="false" outlineLevel="0" collapsed="false">
      <c r="C66" s="75" t="str">
        <f aca="false">IF(AND(OR(C41,C43),C18&lt;=0),"Bitte den elektrischen Wirkungsgrad η_el angeben.","")</f>
        <v/>
      </c>
    </row>
    <row r="67" customFormat="false" ht="15" hidden="false" customHeight="false" outlineLevel="0" collapsed="false">
      <c r="C67" s="75" t="str">
        <f aca="false">IF(AND(OR(C42,C43),C19&lt;=0),"Bitte den thermischen Wirkungsgrad η_h angeben.","")</f>
        <v/>
      </c>
    </row>
    <row r="68" customFormat="false" ht="15" hidden="false" customHeight="false" outlineLevel="0" collapsed="false">
      <c r="C68" s="75" t="str">
        <f aca="false">IF(AND(C43,Eingabe!E30="",Eingabe!E31&lt;&gt;"Ja"),"Bitte die Temperatur der Nutzwärme angeben (KWK-Allokation).","")</f>
        <v/>
      </c>
    </row>
    <row r="69" customFormat="false" ht="15" hidden="false" customHeight="false" outlineLevel="0" collapsed="false">
      <c r="C69" s="75" t="str">
        <f aca="false">IF(NOT(C45),"Typische Werte sind nur zur Orientierung; für den Nachweis nach Art. 31 Abs. 1 lit. a ist der Standardwert maßgeblich.","")</f>
        <v/>
      </c>
    </row>
    <row r="70" customFormat="false" ht="15" hidden="false" customHeight="false" outlineLevel="0" collapsed="false">
      <c r="C70" s="75" t="str">
        <f aca="false">IF(NOT(C44),"Standardwerte dürfen nur verwendet werden, wenn e_l ≤ 0 ist (Art. 31 Abs. 1 lit. a) – Berechnung mit tatsächlichen Werten erforderlich.","")</f>
        <v/>
      </c>
    </row>
    <row r="71" customFormat="false" ht="15" hidden="false" customHeight="false" outlineLevel="0" collapsed="false">
      <c r="C71" s="75" t="str">
        <f aca="false">IF(AND(NOT(C40),C32=Grenzwerte!C34),"Bei genau 10 MW überschneiden sich lit. e/f bzw. g/h im Richtlinientext; das Tool wendet konservativ lit. e bzw. g an.","")</f>
        <v/>
      </c>
    </row>
    <row r="72" customFormat="false" ht="15" hidden="false" customHeight="false" outlineLevel="0" collapsed="false">
      <c r="C72" s="75" t="str">
        <f aca="false">IF(AND(NOT(C40),C32=0,C31&lt;&gt;""),"Gesamtfeuerungswärmeleistung fehlt: Das Tool wendet bis zur Eingabe die Regeln für ≤ 10 MW an (lit. f/h).","")</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FF"/>
    <pageSetUpPr fitToPage="false"/>
  </sheetPr>
  <dimension ref="B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H18" activeCellId="0" sqref="H18"/>
    </sheetView>
  </sheetViews>
  <sheetFormatPr defaultColWidth="11.42578125" defaultRowHeight="15" zeroHeight="false" outlineLevelRow="0" outlineLevelCol="0"/>
  <cols>
    <col collapsed="false" customWidth="true" hidden="false" outlineLevel="0" max="1" min="1" style="10" width="8.71"/>
    <col collapsed="false" customWidth="true" hidden="false" outlineLevel="0" max="2" min="2" style="10" width="12.29"/>
    <col collapsed="false" customWidth="false" hidden="false" outlineLevel="0" max="6" min="3" style="76" width="11.43"/>
    <col collapsed="false" customWidth="false" hidden="false" outlineLevel="0" max="7" min="7" style="10" width="11.43"/>
    <col collapsed="false" customWidth="true" hidden="false" outlineLevel="0" max="8" min="8" style="10" width="17.86"/>
    <col collapsed="false" customWidth="false" hidden="false" outlineLevel="0" max="9" min="9" style="10" width="11.43"/>
    <col collapsed="false" customWidth="false" hidden="false" outlineLevel="0" max="12" min="10" style="76" width="11.43"/>
    <col collapsed="false" customWidth="false" hidden="false" outlineLevel="0" max="16384" min="13" style="10" width="11.43"/>
  </cols>
  <sheetData>
    <row r="1" customFormat="false" ht="30" hidden="false" customHeight="true" outlineLevel="0" collapsed="false"/>
    <row r="2" customFormat="false" ht="31.5" hidden="false" customHeight="true" outlineLevel="0" collapsed="false">
      <c r="B2" s="3" t="s">
        <v>244</v>
      </c>
      <c r="C2" s="77"/>
      <c r="D2" s="77"/>
      <c r="E2" s="77"/>
      <c r="F2" s="77"/>
      <c r="G2" s="78"/>
    </row>
    <row r="3" customFormat="false" ht="13.5" hidden="false" customHeight="true" outlineLevel="0" collapsed="false">
      <c r="B3" s="79"/>
    </row>
    <row r="5" customFormat="false" ht="15.75" hidden="false" customHeight="true" outlineLevel="0" collapsed="false">
      <c r="B5" s="10" t="s">
        <v>245</v>
      </c>
      <c r="C5" s="10" t="s">
        <v>246</v>
      </c>
    </row>
    <row r="6" customFormat="false" ht="15.75" hidden="false" customHeight="true" outlineLevel="0" collapsed="false">
      <c r="B6" s="80"/>
      <c r="C6" s="81" t="n">
        <v>49</v>
      </c>
      <c r="D6" s="81" t="n">
        <v>53</v>
      </c>
      <c r="E6" s="82" t="n">
        <v>46</v>
      </c>
    </row>
    <row r="8" customFormat="false" ht="15.75" hidden="false" customHeight="true" outlineLevel="0" collapsed="false">
      <c r="B8" s="10" t="s">
        <v>247</v>
      </c>
    </row>
    <row r="9" customFormat="false" ht="15" hidden="false" customHeight="false" outlineLevel="0" collapsed="false">
      <c r="B9" s="83"/>
      <c r="C9" s="84" t="n">
        <v>243</v>
      </c>
      <c r="D9" s="84" t="n">
        <v>246</v>
      </c>
      <c r="E9" s="85" t="n">
        <v>232</v>
      </c>
    </row>
    <row r="10" customFormat="false" ht="15" hidden="false" customHeight="false" outlineLevel="0" collapsed="false">
      <c r="B10" s="86"/>
      <c r="C10" s="76" t="n">
        <v>207</v>
      </c>
      <c r="D10" s="76" t="n">
        <v>224</v>
      </c>
      <c r="E10" s="87" t="n">
        <v>145</v>
      </c>
    </row>
    <row r="11" customFormat="false" ht="15" hidden="false" customHeight="false" outlineLevel="0" collapsed="false">
      <c r="B11" s="88"/>
      <c r="C11" s="76" t="n">
        <v>119</v>
      </c>
      <c r="D11" s="76" t="n">
        <v>138</v>
      </c>
      <c r="E11" s="87" t="n">
        <v>53</v>
      </c>
      <c r="H11" s="10" t="s">
        <v>248</v>
      </c>
    </row>
    <row r="12" customFormat="false" ht="15" hidden="false" customHeight="false" outlineLevel="0" collapsed="false">
      <c r="B12" s="89"/>
      <c r="C12" s="76" t="n">
        <v>84</v>
      </c>
      <c r="D12" s="76" t="n">
        <v>103</v>
      </c>
      <c r="E12" s="87" t="n">
        <v>19</v>
      </c>
    </row>
    <row r="13" customFormat="false" ht="15.75" hidden="false" customHeight="true" outlineLevel="0" collapsed="false">
      <c r="B13" s="90"/>
      <c r="C13" s="91" t="n">
        <v>24</v>
      </c>
      <c r="D13" s="91" t="n">
        <v>28</v>
      </c>
      <c r="E13" s="92" t="n">
        <v>11</v>
      </c>
    </row>
    <row r="15" customFormat="false" ht="15.75" hidden="false" customHeight="true" outlineLevel="0" collapsed="false">
      <c r="B15" s="10" t="s">
        <v>249</v>
      </c>
    </row>
    <row r="16" customFormat="false" ht="15" hidden="false" customHeight="false" outlineLevel="0" collapsed="false">
      <c r="B16" s="93"/>
      <c r="C16" s="84" t="n">
        <v>227</v>
      </c>
      <c r="D16" s="84" t="n">
        <v>244</v>
      </c>
      <c r="E16" s="85" t="n">
        <v>244</v>
      </c>
    </row>
    <row r="17" customFormat="false" ht="15" hidden="false" customHeight="false" outlineLevel="0" collapsed="false">
      <c r="B17" s="94"/>
      <c r="C17" s="76" t="n">
        <v>92</v>
      </c>
      <c r="D17" s="76" t="n">
        <v>143</v>
      </c>
      <c r="E17" s="87" t="n">
        <v>141</v>
      </c>
    </row>
    <row r="18" customFormat="false" ht="15" hidden="false" customHeight="false" outlineLevel="0" collapsed="false">
      <c r="B18" s="95"/>
      <c r="C18" s="76" t="n">
        <v>34</v>
      </c>
      <c r="D18" s="76" t="n">
        <v>88</v>
      </c>
      <c r="E18" s="87" t="n">
        <v>86</v>
      </c>
    </row>
    <row r="19" customFormat="false" ht="15" hidden="false" customHeight="false" outlineLevel="0" collapsed="false">
      <c r="B19" s="96"/>
      <c r="C19" s="76" t="n">
        <v>12</v>
      </c>
      <c r="D19" s="76" t="n">
        <v>65</v>
      </c>
      <c r="E19" s="87" t="n">
        <v>63</v>
      </c>
    </row>
    <row r="20" customFormat="false" ht="15.75" hidden="false" customHeight="true" outlineLevel="0" collapsed="false">
      <c r="B20" s="97"/>
      <c r="C20" s="91" t="n">
        <v>0</v>
      </c>
      <c r="D20" s="91" t="n">
        <v>13</v>
      </c>
      <c r="E20" s="92" t="n">
        <v>12</v>
      </c>
    </row>
    <row r="21" customFormat="false" ht="15.75" hidden="false" customHeight="true" outlineLevel="0" collapsed="false"/>
    <row r="22" customFormat="false" ht="15" hidden="false" customHeight="false" outlineLevel="0" collapsed="false">
      <c r="B22" s="98"/>
      <c r="C22" s="84" t="n">
        <v>246</v>
      </c>
      <c r="D22" s="84" t="n">
        <v>239</v>
      </c>
      <c r="E22" s="85" t="n">
        <v>232</v>
      </c>
    </row>
    <row r="23" customFormat="false" ht="15" hidden="false" customHeight="false" outlineLevel="0" collapsed="false">
      <c r="B23" s="99"/>
      <c r="C23" s="76" t="n">
        <v>235</v>
      </c>
      <c r="D23" s="76" t="n">
        <v>189</v>
      </c>
      <c r="E23" s="87" t="n">
        <v>152</v>
      </c>
    </row>
    <row r="24" customFormat="false" ht="15" hidden="false" customHeight="false" outlineLevel="0" collapsed="false">
      <c r="B24" s="100"/>
      <c r="C24" s="76" t="n">
        <v>144</v>
      </c>
      <c r="D24" s="76" t="n">
        <v>95</v>
      </c>
      <c r="E24" s="87" t="n">
        <v>55</v>
      </c>
    </row>
    <row r="25" customFormat="false" ht="15" hidden="false" customHeight="false" outlineLevel="0" collapsed="false">
      <c r="B25" s="101"/>
      <c r="C25" s="76" t="n">
        <v>108</v>
      </c>
      <c r="D25" s="76" t="n">
        <v>59</v>
      </c>
      <c r="E25" s="87" t="n">
        <v>19</v>
      </c>
    </row>
    <row r="26" customFormat="false" ht="15.75" hidden="false" customHeight="true" outlineLevel="0" collapsed="false">
      <c r="B26" s="102"/>
      <c r="C26" s="91" t="n">
        <v>21</v>
      </c>
      <c r="D26" s="91" t="n">
        <v>9</v>
      </c>
      <c r="E26" s="92" t="n">
        <v>0</v>
      </c>
    </row>
    <row r="27" customFormat="false" ht="15.75" hidden="false" customHeight="true" outlineLevel="0" collapsed="false"/>
    <row r="28" customFormat="false" ht="15" hidden="false" customHeight="false" outlineLevel="0" collapsed="false">
      <c r="B28" s="103"/>
      <c r="C28" s="84" t="n">
        <v>245</v>
      </c>
      <c r="D28" s="84" t="n">
        <v>229</v>
      </c>
      <c r="E28" s="85" t="n">
        <v>242</v>
      </c>
    </row>
    <row r="29" customFormat="false" ht="15" hidden="false" customHeight="false" outlineLevel="0" collapsed="false">
      <c r="B29" s="104"/>
      <c r="C29" s="76" t="n">
        <v>168</v>
      </c>
      <c r="D29" s="76" t="n">
        <v>109</v>
      </c>
      <c r="E29" s="87" t="n">
        <v>157</v>
      </c>
    </row>
    <row r="30" customFormat="false" ht="15" hidden="false" customHeight="false" outlineLevel="0" collapsed="false">
      <c r="B30" s="105"/>
      <c r="C30" s="76" t="n">
        <v>104</v>
      </c>
      <c r="D30" s="76" t="n">
        <v>40</v>
      </c>
      <c r="E30" s="87" t="n">
        <v>91</v>
      </c>
    </row>
    <row r="31" customFormat="false" ht="15" hidden="false" customHeight="false" outlineLevel="0" collapsed="false">
      <c r="B31" s="106"/>
      <c r="C31" s="76" t="n">
        <v>77</v>
      </c>
      <c r="D31" s="76" t="n">
        <v>14</v>
      </c>
      <c r="E31" s="87" t="n">
        <v>65</v>
      </c>
    </row>
    <row r="32" customFormat="false" ht="15.75" hidden="false" customHeight="true" outlineLevel="0" collapsed="false">
      <c r="B32" s="107"/>
      <c r="C32" s="91" t="n">
        <v>15</v>
      </c>
      <c r="D32" s="91" t="n">
        <v>0</v>
      </c>
      <c r="E32" s="92" t="n">
        <v>12</v>
      </c>
    </row>
    <row r="33" customFormat="false" ht="15.75" hidden="false" customHeight="true" outlineLevel="0" collapsed="false"/>
    <row r="34" customFormat="false" ht="15" hidden="false" customHeight="false" outlineLevel="0" collapsed="false">
      <c r="B34" s="108"/>
      <c r="C34" s="84" t="n">
        <v>251</v>
      </c>
      <c r="D34" s="84" t="n">
        <v>249</v>
      </c>
      <c r="E34" s="85" t="n">
        <v>237</v>
      </c>
    </row>
    <row r="35" customFormat="false" ht="15" hidden="false" customHeight="false" outlineLevel="0" collapsed="false">
      <c r="B35" s="109"/>
      <c r="C35" s="76" t="n">
        <v>255</v>
      </c>
      <c r="D35" s="76" t="n">
        <v>238</v>
      </c>
      <c r="E35" s="87" t="n">
        <v>152</v>
      </c>
    </row>
    <row r="36" customFormat="false" ht="15" hidden="false" customHeight="false" outlineLevel="0" collapsed="false">
      <c r="B36" s="110"/>
      <c r="C36" s="76" t="n">
        <v>217</v>
      </c>
      <c r="D36" s="76" t="n">
        <v>193</v>
      </c>
      <c r="E36" s="87" t="n">
        <v>72</v>
      </c>
    </row>
    <row r="37" customFormat="false" ht="15" hidden="false" customHeight="false" outlineLevel="0" collapsed="false">
      <c r="B37" s="111"/>
      <c r="C37" s="76" t="n">
        <v>184</v>
      </c>
      <c r="D37" s="76" t="n">
        <v>158</v>
      </c>
      <c r="E37" s="87" t="n">
        <v>29</v>
      </c>
    </row>
    <row r="38" customFormat="false" ht="15.75" hidden="false" customHeight="true" outlineLevel="0" collapsed="false">
      <c r="B38" s="112"/>
      <c r="C38" s="91" t="n">
        <v>46</v>
      </c>
      <c r="D38" s="91" t="n">
        <v>38</v>
      </c>
      <c r="E38" s="92" t="n">
        <v>0</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4:H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4" customFormat="false" ht="15" hidden="false" customHeight="false" outlineLevel="0" collapsed="false">
      <c r="B4" s="0" t="s">
        <v>250</v>
      </c>
      <c r="D4" s="0" t="s">
        <v>162</v>
      </c>
      <c r="F4" s="0" t="s">
        <v>36</v>
      </c>
      <c r="H4" s="0" t="s">
        <v>40</v>
      </c>
    </row>
    <row r="5" customFormat="false" ht="15" hidden="false" customHeight="false" outlineLevel="0" collapsed="false">
      <c r="B5" s="0" t="s">
        <v>35</v>
      </c>
      <c r="D5" s="0" t="s">
        <v>170</v>
      </c>
      <c r="F5" s="0" t="s">
        <v>37</v>
      </c>
      <c r="H5" s="0" t="s">
        <v>64</v>
      </c>
    </row>
    <row r="6" customFormat="false" ht="15" hidden="false" customHeight="false" outlineLevel="0" collapsed="false">
      <c r="B6" s="0" t="s">
        <v>48</v>
      </c>
      <c r="D6" s="0" t="s">
        <v>32</v>
      </c>
      <c r="F6" s="0" t="s">
        <v>251</v>
      </c>
      <c r="H6" s="0" t="s">
        <v>252</v>
      </c>
    </row>
    <row r="7" customFormat="false" ht="15" hidden="false" customHeight="false" outlineLevel="0" collapsed="false">
      <c r="H7" s="0" t="s">
        <v>253</v>
      </c>
    </row>
    <row r="8" customFormat="false" ht="15" hidden="false" customHeight="false" outlineLevel="0" collapsed="false">
      <c r="H8" s="0"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2023-10-04T13:00:16Z</dcterms:created>
  <dc:creator>Micha Gruber</dc:creator>
  <dc:description/>
  <dc:language>en-US</dc:language>
  <cp:lastModifiedBy>Micha Gruber</cp:lastModifiedBy>
  <dcterms:modified xsi:type="dcterms:W3CDTF">2026-10-08T17:12:44Z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