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me" sheetId="1" state="visible" r:id="rId3"/>
    <sheet name="Input" sheetId="2" state="visible" r:id="rId4"/>
    <sheet name="Changes" sheetId="3" state="visible" r:id="rId5"/>
    <sheet name="Limits" sheetId="4" state="hidden" r:id="rId6"/>
    <sheet name="REDIII" sheetId="5" state="hidden" r:id="rId7"/>
    <sheet name="Calculation" sheetId="6" state="hidden" r:id="rId8"/>
    <sheet name="CI" sheetId="7" state="hidden" r:id="rId9"/>
    <sheet name="Lists" sheetId="8" state="hidden" r:id="rId10"/>
  </sheets>
  <definedNames>
    <definedName function="false" hidden="false" localSheetId="1" name="_xlnm.Print_Area" vbProcedure="false">Input!$B$2:$J$71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9" authorId="0">
      <text>
        <r>
          <rPr>
            <sz val="10"/>
            <rFont val="Arial"/>
            <family val="2"/>
          </rPr>
          <t xml:space="preserve">Default: 8,000 t FM/a manure (example mix 80/20, corresponds to Annex VI, Part D). Replace with project data.</t>
        </r>
      </text>
    </comment>
    <comment ref="E10" authorId="0">
      <text>
        <r>
          <rPr>
            <sz val="10"/>
            <rFont val="Arial"/>
            <family val="2"/>
          </rPr>
          <t xml:space="preserve">Default: 2,000 t FM/a maize (example mix 80/20). Replace with project data.</t>
        </r>
      </text>
    </comment>
    <comment ref="E11" authorId="0">
      <text>
        <r>
          <rPr>
            <sz val="10"/>
            <rFont val="Arial"/>
            <family val="2"/>
          </rPr>
          <t xml:space="preserve">Default: 0 t FM/a biowaste.</t>
        </r>
      </text>
    </comment>
    <comment ref="E18" authorId="0">
      <text>
        <r>
          <rPr>
            <sz val="10"/>
            <rFont val="Arial"/>
            <family val="2"/>
          </rPr>
          <t xml:space="preserve">Default: Closed (state of the art for new plants).</t>
        </r>
      </text>
    </comment>
    <comment ref="E19" authorId="0">
      <text>
        <r>
          <rPr>
            <sz val="10"/>
            <rFont val="Arial"/>
            <family val="2"/>
          </rPr>
          <t xml:space="preserve">Default: Yes (upgrading without methane slip in the off-gas).</t>
        </r>
      </text>
    </comment>
    <comment ref="E20" authorId="0">
      <text>
        <r>
          <rPr>
            <sz val="10"/>
            <rFont val="Arial"/>
            <family val="2"/>
          </rPr>
          <t xml:space="preserve">Default: Default value (decisive for the proof under Art. 31(1)(a)).</t>
        </r>
      </text>
    </comment>
    <comment ref="E21" authorId="0">
      <text>
        <r>
          <rPr>
            <sz val="10"/>
            <rFont val="Arial"/>
            <family val="2"/>
          </rPr>
          <t xml:space="preserve">Default: Yes (no land-use change).</t>
        </r>
      </text>
    </comment>
    <comment ref="E26" authorId="0">
      <text>
        <r>
          <rPr>
            <sz val="10"/>
            <rFont val="Arial"/>
            <family val="2"/>
          </rPr>
          <t xml:space="preserve">Default: Combined heat and power (electricity and heat).</t>
        </r>
      </text>
    </comment>
    <comment ref="E27" authorId="0">
      <text>
        <r>
          <rPr>
            <sz val="10"/>
            <rFont val="Arial"/>
            <family val="2"/>
          </rPr>
          <t xml:space="preserve">Default: 40 % – assumption for a biogas/biomethane gas engine. Replace with plant data.</t>
        </r>
      </text>
    </comment>
    <comment ref="E28" authorId="0">
      <text>
        <r>
          <rPr>
            <sz val="10"/>
            <rFont val="Arial"/>
            <family val="2"/>
          </rPr>
          <t xml:space="preserve">Default: 45 % – assumption for the useful heat of a gas-engine CHP unit. Enter only heat that is actually used.</t>
        </r>
      </text>
    </comment>
    <comment ref="E29" authorId="0">
      <text>
        <r>
          <rPr>
            <sz val="10"/>
            <rFont val="Arial"/>
            <family val="2"/>
          </rPr>
          <t xml:space="preserve">Default: 90 % – assumption for a gas boiler. Replace with plant data.</t>
        </r>
      </text>
    </comment>
    <comment ref="E30" authorId="0">
      <text>
        <r>
          <rPr>
            <sz val="10"/>
            <rFont val="Arial"/>
            <family val="2"/>
          </rPr>
          <t xml:space="preserve">Default: 90 °C – assumption for local/district heating flow temperature.</t>
        </r>
      </text>
    </comment>
    <comment ref="E31" authorId="0">
      <text>
        <r>
          <rPr>
            <sz val="10"/>
            <rFont val="Arial"/>
            <family val="2"/>
          </rPr>
          <t xml:space="preserve">Default: No (Carnot factor derived from the temperature).</t>
        </r>
      </text>
    </comment>
    <comment ref="E32" authorId="0">
      <text>
        <r>
          <rPr>
            <sz val="10"/>
            <rFont val="Arial"/>
            <family val="2"/>
          </rPr>
          <t xml:space="preserve">Default: No (comparator 80 g CO2eq/MJ).</t>
        </r>
      </text>
    </comment>
    <comment ref="E36" authorId="0">
      <text>
        <r>
          <rPr>
            <sz val="10"/>
            <rFont val="Arial"/>
            <family val="2"/>
          </rPr>
          <t xml:space="preserve">Default: 01.03.2024 (example). Replace with the actual date.</t>
        </r>
      </text>
    </comment>
    <comment ref="E37" authorId="0">
      <text>
        <r>
          <rPr>
            <sz val="10"/>
            <rFont val="Arial"/>
            <family val="2"/>
          </rPr>
          <t xml:space="preserve">Default: 5 MW – assumption. Replace with plant data.</t>
        </r>
      </text>
    </comment>
    <comment ref="E38" authorId="0">
      <text>
        <r>
          <rPr>
            <sz val="10"/>
            <rFont val="Arial"/>
            <family val="2"/>
          </rPr>
          <t xml:space="preserve">Default: 250 m³/h CH4 eq. – assumption. Replace with plant data.</t>
        </r>
      </text>
    </comment>
    <comment ref="E39" authorId="0">
      <text>
        <r>
          <rPr>
            <sz val="10"/>
            <rFont val="Arial"/>
            <family val="2"/>
          </rPr>
          <t xml:space="preserve">Default: today's date (=TODAY()).</t>
        </r>
      </text>
    </comment>
    <comment ref="F9" authorId="0">
      <text>
        <r>
          <rPr>
            <sz val="10"/>
            <rFont val="Arial"/>
            <family val="2"/>
          </rPr>
          <t xml:space="preserve">Default: standard moisture 90 % (Annex VI, Part B, point 1(b)).</t>
        </r>
      </text>
    </comment>
    <comment ref="F10" authorId="0">
      <text>
        <r>
          <rPr>
            <sz val="10"/>
            <rFont val="Arial"/>
            <family val="2"/>
          </rPr>
          <t xml:space="preserve">Default: standard moisture 65 % (Annex VI, Part B, point 1(b)).</t>
        </r>
      </text>
    </comment>
    <comment ref="F11" authorId="0">
      <text>
        <r>
          <rPr>
            <sz val="10"/>
            <rFont val="Arial"/>
            <family val="2"/>
          </rPr>
          <t xml:space="preserve">Default: standard moisture 76 % (Annex VI, Part B, point 1(b)).</t>
        </r>
      </text>
    </comment>
  </commentList>
</comments>
</file>

<file path=xl/sharedStrings.xml><?xml version="1.0" encoding="utf-8"?>
<sst xmlns="http://schemas.openxmlformats.org/spreadsheetml/2006/main" count="342" uniqueCount="254">
  <si>
    <t xml:space="preserve">TOBI - Tool for Calculating the Greenhouse Gas Emissions of Biomethane</t>
  </si>
  <si>
    <t xml:space="preserve">Version 2.0 – 10/2026 (first edition 03/2024)</t>
  </si>
  <si>
    <t xml:space="preserve">Created by Servicestelle Erneuerbare Gase (Renewable Gas Service Centre, SEG)</t>
  </si>
  <si>
    <t xml:space="preserve">Short description of the tool</t>
  </si>
  <si>
    <t xml:space="preserve">TOBI applies the methodology of the European Union Renewable Energy Directive (Directive (EU) 2018/2001 as amended by Directive (EU) 2023/2413, “RED III”) to calculate the greenhouse gas emissions (CO2 equivalents) of biomethane from manure, maize and biowaste on the basis of the default values in Annex VI, and to compare them with the minimum savings under Art. 29(10). The tool is aimed at investors, project planners and decision-makers in the biogas sector.</t>
  </si>
  <si>
    <t xml:space="preserve">Scope of application</t>
  </si>
  <si>
    <t xml:space="preserve">The limits under the Renewable Energy Directive (EU 2018/2001) (RED III) apply to gaseous biomass fuels (e.g. biomethane) when used in installations producing electricity, heating and cooling with a total rated thermal input of 2 MW or more, as well as to installations producing gaseous biomass fuels with an average flow rate of more than 200 m³/h methane equivalent (at 0 °C and 1 bar).
</t>
  </si>
  <si>
    <t xml:space="preserve">Contact</t>
  </si>
  <si>
    <t xml:space="preserve">Servicestelle Erneuerbare Gase</t>
  </si>
  <si>
    <t xml:space="preserve">Mariahilfer Straße 136 | 1150 Vienna | Austria</t>
  </si>
  <si>
    <t xml:space="preserve">T. +43 (0)1 285 02 34</t>
  </si>
  <si>
    <t xml:space="preserve">service@erneuerbaresgas.at</t>
  </si>
  <si>
    <t xml:space="preserve">Version 2.0 (10/2026) – Basis: Directive (EU) 2018/2001 as amended by Directive (EU) 2023/2413 (RED III), Art. 29(10), Art. 31, Annex VI</t>
  </si>
  <si>
    <t xml:space="preserve">Data input</t>
  </si>
  <si>
    <t xml:space="preserve">Input</t>
  </si>
  <si>
    <t xml:space="preserve">not required</t>
  </si>
  <si>
    <t xml:space="preserve">calculated</t>
  </si>
  <si>
    <t xml:space="preserve">All fields are pre-filled (see cell comments for assumptions) – replace with project data.</t>
  </si>
  <si>
    <t xml:space="preserve">Section 1: Substrates (co-digestion)</t>
  </si>
  <si>
    <t xml:space="preserve">Substrate</t>
  </si>
  <si>
    <t xml:space="preserve">Input [t fresh matter/a] or share [% of fresh matter]</t>
  </si>
  <si>
    <t xml:space="preserve">Ø moisture AM_n [%] (default = standard moisture)</t>
  </si>
  <si>
    <t xml:space="preserve">Standard moisture SM_n [%]</t>
  </si>
  <si>
    <t xml:space="preserve">Energy share S_n</t>
  </si>
  <si>
    <t xml:space="preserve">Default/typical value E_n [g CO2eq/MJ]</t>
  </si>
  <si>
    <t xml:space="preserve">Manure/slurry</t>
  </si>
  <si>
    <t xml:space="preserve">Maize (whole plant)</t>
  </si>
  <si>
    <t xml:space="preserve">Biowaste</t>
  </si>
  <si>
    <t xml:space="preserve">Total</t>
  </si>
  <si>
    <t xml:space="preserve">Quantities are normalised automatically (t/a or % are equivalent). Weighting is by energy share in accordance with Annex VI, Part B, point 1(b) (S_n = P_n·W_n / Σ P_n·W_n), not by mass. Moisture is pre-filled with the standard moisture; if it deviates, enter the actual annual average (empty = standard moisture). For other substrates, Annex VI contains no default values – a calculation with actual values (Art. 31(1)(b)) is required.</t>
  </si>
  <si>
    <t xml:space="preserve">Section 2: Technical specifications and value basis</t>
  </si>
  <si>
    <t xml:space="preserve">Type of digestate storage</t>
  </si>
  <si>
    <t xml:space="preserve">Closed</t>
  </si>
  <si>
    <t xml:space="preserve">Off-gas combustion “No” = upgrading with 0.03 MJ CH4/MJ biomethane in the off-gas (footnote 1, Annex VI, Part A). For the proof under Art. 31(1)(a), the default value is decisive; the typical value is for orientation only. Default values may only be used if e_l ≤ 0.</t>
  </si>
  <si>
    <t xml:space="preserve">Off-gas combustion during biogas upgrading (no methane slip in the off-gas)?</t>
  </si>
  <si>
    <t xml:space="preserve">Yes</t>
  </si>
  <si>
    <t xml:space="preserve">Value basis</t>
  </si>
  <si>
    <t xml:space="preserve">Default value</t>
  </si>
  <si>
    <t xml:space="preserve">Cultivation without land-use change, i.e. e_l ≤ 0 (Art. 31(1)(a))?</t>
  </si>
  <si>
    <t xml:space="preserve">Section 3: Use of the biomethane</t>
  </si>
  <si>
    <t xml:space="preserve">Intended use</t>
  </si>
  <si>
    <t xml:space="preserve">Combined heat and power (electricity and heat)</t>
  </si>
  <si>
    <t xml:space="preserve">Electrical efficiency η_el [%] (electricity, CHP)</t>
  </si>
  <si>
    <t xml:space="preserve">η = annually generated electricity or useful heat / annually used fuel (energy content). CHP: allocation by exergy (C_el = 1, C_h = (T_h − T_0)/T_h). The compression surcharge is only applied for transport.</t>
  </si>
  <si>
    <t xml:space="preserve">Thermal efficiency η_h CHP [%] – useful heat only (CHP)</t>
  </si>
  <si>
    <t xml:space="preserve">Thermal efficiency η_h heat generator [%] (heat without electricity)</t>
  </si>
  <si>
    <t xml:space="preserve">Temperature of useful heat at point of delivery [°C] (CHP)</t>
  </si>
  <si>
    <t xml:space="preserve">Heat for space heating &lt; 150 °C – apply C_h = 0.3546? (CHP)</t>
  </si>
  <si>
    <t xml:space="preserve">No</t>
  </si>
  <si>
    <t xml:space="preserve">Direct physical substitution of coal demonstrated? (heat, CHP)</t>
  </si>
  <si>
    <t xml:space="preserve">Section 4: Installation and reference date (for Art. 29(10))</t>
  </si>
  <si>
    <t xml:space="preserve">Commissioning date of the installation</t>
  </si>
  <si>
    <t xml:space="preserve">Transport (points (a)–(c)): the start of operation of the biomethane production plant is decisive. Electricity/heating/cooling (points (d)–(h)): the commissioning of the utilisation plant is decisive; the minimum saving additionally depends on capacity, operating period (15 years) and reference date.</t>
  </si>
  <si>
    <t xml:space="preserve">Total rated thermal input of the electricity/heat installation [MW] (electricity, heat, CHP)</t>
  </si>
  <si>
    <t xml:space="preserve">Ø biomethane flow rate of the production plant [m³/h CH4 eq., 0 °C, 1 bar]</t>
  </si>
  <si>
    <t xml:space="preserve">Reference date</t>
  </si>
  <si>
    <t xml:space="preserve">Section 5: Results</t>
  </si>
  <si>
    <t xml:space="preserve">GHG emissions of the biomethane before final conversion E [g CO2eq/MJ biomethane]</t>
  </si>
  <si>
    <t xml:space="preserve">End-use product</t>
  </si>
  <si>
    <t xml:space="preserve">GHG emissions [g CO2eq/MJ]</t>
  </si>
  <si>
    <t xml:space="preserve">Fossil fuel comparator [g CO2eq/MJ]</t>
  </si>
  <si>
    <t xml:space="preserve">GHG saving</t>
  </si>
  <si>
    <t xml:space="preserve">Minimum saving on reference date</t>
  </si>
  <si>
    <t xml:space="preserve">Result</t>
  </si>
  <si>
    <t xml:space="preserve">Transport fuel (compressed biomethane)</t>
  </si>
  <si>
    <t xml:space="preserve">Electricity</t>
  </si>
  <si>
    <t xml:space="preserve">Useful heat / cooling</t>
  </si>
  <si>
    <t xml:space="preserve">Applicable provision</t>
  </si>
  <si>
    <t xml:space="preserve">Scope of application (Art. 29(1), fourth subparagraph)</t>
  </si>
  <si>
    <t xml:space="preserve">Notes on the inputs</t>
  </si>
  <si>
    <t xml:space="preserve">The calculation covers only the default pathways under Annex VI, Part D (manure, maize, biowaste) including the co-digestion formula. Actual values (Art. 31(1)(b)–(d)) cannot be calculated with it. Result without guarantee; legal basis: Directive (EU) 2018/2001 in the consolidated version of 16.07.2024.</t>
  </si>
  <si>
    <t xml:space="preserve">https://eur-lex.europa.eu/legal-content/EN/TXT/?uri=CELEX:02018L2001-20240716</t>
  </si>
  <si>
    <t xml:space="preserve">Change log version 2.0 (10/2026)</t>
  </si>
  <si>
    <t xml:space="preserve">No.</t>
  </si>
  <si>
    <t xml:space="preserve">Area</t>
  </si>
  <si>
    <t xml:space="preserve">Error / change in version 1 (03/2024)</t>
  </si>
  <si>
    <t xml:space="preserve">Correction</t>
  </si>
  <si>
    <t xml:space="preserve">Legal basis</t>
  </si>
  <si>
    <t xml:space="preserve">REDIII</t>
  </si>
  <si>
    <t xml:space="preserve">Default value for manure, closed storage with off-gas combustion was stored as the text “– 100” → every calculation with “Closed” + “Yes” returned #VALUE!, even without manure.</t>
  </si>
  <si>
    <t xml:space="preserve">Stored as the number −100.</t>
  </si>
  <si>
    <t xml:space="preserve">Annex VI, Part D</t>
  </si>
  <si>
    <t xml:space="preserve">Co-digestion</t>
  </si>
  <si>
    <t xml:space="preserve">Mixture weighted by fresh-matter or percentage shares. Example 80 % manure/20 % maize, open, no off-gas combustion: 32.2 instead of 57 g CO2eq/MJ.</t>
  </si>
  <si>
    <t xml:space="preserve">Weighting by energy share S_n = P_n·W_n/Σ P_n·W_n with P_n and standard moisture SM_n; optional actual moisture AM_n.</t>
  </si>
  <si>
    <t xml:space="preserve">Annex VI, Part B, point 1(b)</t>
  </si>
  <si>
    <t xml:space="preserve">Compression</t>
  </si>
  <si>
    <t xml:space="preserve">Surcharge of 3.3 g/MJ added to the default value, regardless of use.</t>
  </si>
  <si>
    <t xml:space="preserve">Default value +4.6, typical value +3.3 g/MJ; only when used as compressed biomethane in transport.</t>
  </si>
  <si>
    <t xml:space="preserve">Annex VI, Part D, final paragraph</t>
  </si>
  <si>
    <t xml:space="preserve">Electricity/heat</t>
  </si>
  <si>
    <t xml:space="preserve">Emissions per MJ biomethane compared directly with the comparator per MJ electricity (183) or heat (80).</t>
  </si>
  <si>
    <t xml:space="preserve">Conversion to final energy via η_el or η_h; for CHP allocation by exergy (Carnot factor).</t>
  </si>
  <si>
    <t xml:space="preserve">Annex VI, Part B, point 1(d), point 3(b)</t>
  </si>
  <si>
    <t xml:space="preserve">Limit values</t>
  </si>
  <si>
    <t xml:space="preserve">Minimum savings for electricity/heat under RED II (70 % 2021–2025, 80 % from 2026).</t>
  </si>
  <si>
    <t xml:space="preserve">Points (d)–(h) under RED III: reference date 20.11.2023, 10 MW threshold, 15-year rule, transition periods until 31.12.2029, reference date for the check.</t>
  </si>
  <si>
    <t xml:space="preserve">Art. 29(10) as amended by Directive (EU) 2023/2413</t>
  </si>
  <si>
    <t xml:space="preserve">Comparison of a number &lt; “-” (column “before 2021”) always returns TRUE in Excel → “met”.</t>
  </si>
  <si>
    <t xml:space="preserve">Output “no minimum saving on the reference date” or 80 % after the transition period has ended.</t>
  </si>
  <si>
    <t xml:space="preserve">Art. 29(10), points (g), (h)</t>
  </si>
  <si>
    <t xml:space="preserve">Comparison</t>
  </si>
  <si>
    <t xml:space="preserve">Strict comparison “&lt;”: a result exactly at the limit value was treated as not met.</t>
  </si>
  <si>
    <t xml:space="preserve">Comparison of the saving “≥” minimum saving (“at least”).</t>
  </si>
  <si>
    <t xml:space="preserve">Art. 29(10)</t>
  </si>
  <si>
    <t xml:space="preserve">Heading “after 20.11.2026” (typo), maize described as “residue”, unit “grams CO2/MJ”.</t>
  </si>
  <si>
    <t xml:space="preserve">Corrected: substrates, g CO2eq/MJ, date 20.11.2023.</t>
  </si>
  <si>
    <t xml:space="preserve">—</t>
  </si>
  <si>
    <t xml:space="preserve">Mixed units per row (kg/percent) possible; percentage total ≠ 100 % was not detected.</t>
  </si>
  <si>
    <t xml:space="preserve">One quantity column, normalised automatically.</t>
  </si>
  <si>
    <t xml:space="preserve">New</t>
  </si>
  <si>
    <t xml:space="preserve">Value basis (default/typical), check e_l ≤ 0, comparator 124 for coal substitution, scope of application (2 MW / 200 m³/h), note lines.</t>
  </si>
  <si>
    <t xml:space="preserve">Art. 29(1), Art. 31(1), Annex VI, Part B, point 19</t>
  </si>
  <si>
    <t xml:space="preserve">Fossil fuel comparators and minimum GHG savings</t>
  </si>
  <si>
    <t xml:space="preserve">Fossil fuel comparators (Annex VI, Part B, point 19)</t>
  </si>
  <si>
    <t xml:space="preserve">Transport fuel EF(t)</t>
  </si>
  <si>
    <t xml:space="preserve">g CO2eq/MJ</t>
  </si>
  <si>
    <t xml:space="preserve">Electricity ECF(el)</t>
  </si>
  <si>
    <t xml:space="preserve">Useful heat / cooling ECF(h)</t>
  </si>
  <si>
    <t xml:space="preserve">Useful heat with demonstrated direct substitution of coal ECF(h)</t>
  </si>
  <si>
    <t xml:space="preserve">Minimum savings Art. 29(10) (as amended by Directive (EU) 2023/2413)</t>
  </si>
  <si>
    <t xml:space="preserve">point</t>
  </si>
  <si>
    <t xml:space="preserve">Use case</t>
  </si>
  <si>
    <t xml:space="preserve">Minimum saving</t>
  </si>
  <si>
    <t xml:space="preserve">Condition</t>
  </si>
  <si>
    <t xml:space="preserve">a</t>
  </si>
  <si>
    <t xml:space="preserve">Transport: installation in operation on or before 5.10.2015</t>
  </si>
  <si>
    <t xml:space="preserve">b</t>
  </si>
  <si>
    <t xml:space="preserve">Transport: start of operation 6.10.2015 to 31.12.2020</t>
  </si>
  <si>
    <t xml:space="preserve">c</t>
  </si>
  <si>
    <t xml:space="preserve">Transport: start of operation from 1.1.2021</t>
  </si>
  <si>
    <t xml:space="preserve">d</t>
  </si>
  <si>
    <t xml:space="preserve">Electricity/heating/cooling: commissioned after 20.11.2023</t>
  </si>
  <si>
    <t xml:space="preserve">e</t>
  </si>
  <si>
    <t xml:space="preserve">Electricity/heating/cooling, ≥ 10 MW, commissioned 1.1.2021 to 20.11.2023</t>
  </si>
  <si>
    <t xml:space="preserve">until 31.12.2029; from 1.1.2030: 80 %</t>
  </si>
  <si>
    <t xml:space="preserve">f</t>
  </si>
  <si>
    <t xml:space="preserve">Electricity/heating/cooling, ≤ 10 MW, gaseous, commissioned 1.1.2021 to 20.11.2023</t>
  </si>
  <si>
    <t xml:space="preserve">up to 15 years of operation; then 80 %</t>
  </si>
  <si>
    <t xml:space="preserve">g</t>
  </si>
  <si>
    <t xml:space="preserve">Electricity/heating/cooling, ≥ 10 MW, commissioned before 1.1.2021</t>
  </si>
  <si>
    <t xml:space="preserve">after 15 years of operation, at the earliest 1.1.2026, at the latest 31.12.2029</t>
  </si>
  <si>
    <t xml:space="preserve">h</t>
  </si>
  <si>
    <t xml:space="preserve">Electricity/heating/cooling, ≤ 10 MW, gaseous, commissioned before 1.1.2021</t>
  </si>
  <si>
    <t xml:space="preserve">after 15 years of operation, at the earliest 1.1.2026</t>
  </si>
  <si>
    <t xml:space="preserve">Fallback values after the transition period (points (e)–(h))</t>
  </si>
  <si>
    <t xml:space="preserve">Reference dates</t>
  </si>
  <si>
    <t xml:space="preserve">End of point (a)</t>
  </si>
  <si>
    <t xml:space="preserve">End of point (b)</t>
  </si>
  <si>
    <t xml:space="preserve">Start of points (e)/(f)</t>
  </si>
  <si>
    <t xml:space="preserve">End of points (e)/(f), then point (d)</t>
  </si>
  <si>
    <t xml:space="preserve">End of transition, point (e)</t>
  </si>
  <si>
    <t xml:space="preserve">Earliest start of points (g)/(h)</t>
  </si>
  <si>
    <t xml:space="preserve">Latest start of point (g)</t>
  </si>
  <si>
    <t xml:space="preserve">Capacity thresholds</t>
  </si>
  <si>
    <t xml:space="preserve">Threshold for scope, gaseous biomass fuels (Art. 29(1), fourth subparagraph, point (b)) [MW]</t>
  </si>
  <si>
    <t xml:space="preserve">Threshold points (e)/(g) vs. (f)/(h) [MW]</t>
  </si>
  <si>
    <t xml:space="preserve">Threshold biomethane production plants (point (c)) [m³/h CH4 eq.]</t>
  </si>
  <si>
    <t xml:space="preserve">Values from Annex VI of Directive (EU) 2018/2001 (consolidated version 16.07.2024)</t>
  </si>
  <si>
    <t xml:space="preserve">Source: Annex VI, Part D “Typical and default values for biomethane”; Part B, point 1(b) (P_n, SM_n); Part D, final paragraph (compression).</t>
  </si>
  <si>
    <t xml:space="preserve">Biomethane production system</t>
  </si>
  <si>
    <t xml:space="preserve">Technology options</t>
  </si>
  <si>
    <t xml:space="preserve">Digestate storage</t>
  </si>
  <si>
    <t xml:space="preserve">Off-gas combustion</t>
  </si>
  <si>
    <t xml:space="preserve">GHG emissions typical value [g CO2eq/MJ]</t>
  </si>
  <si>
    <t xml:space="preserve">GHG emissions default value [g CO2eq/MJ]</t>
  </si>
  <si>
    <t xml:space="preserve">Lookup key</t>
  </si>
  <si>
    <t xml:space="preserve">Biomethane from manure</t>
  </si>
  <si>
    <t xml:space="preserve">Open digestate storage, no off-gas combustion</t>
  </si>
  <si>
    <t xml:space="preserve">Manure</t>
  </si>
  <si>
    <t xml:space="preserve">Open</t>
  </si>
  <si>
    <t xml:space="preserve">Open digestate storage, off-gas combustion</t>
  </si>
  <si>
    <t xml:space="preserve">Closed digestate storage, no off-gas combustion</t>
  </si>
  <si>
    <t xml:space="preserve">Closed digestate storage, off-gas combustion</t>
  </si>
  <si>
    <t xml:space="preserve">Biomethane from maize (whole plant)</t>
  </si>
  <si>
    <t xml:space="preserve">Maize</t>
  </si>
  <si>
    <t xml:space="preserve">Biomethane from biowaste</t>
  </si>
  <si>
    <t xml:space="preserve">Co-digestion parameters (Annex VI, Part B, point 1(b))</t>
  </si>
  <si>
    <t xml:space="preserve">P_n [MJ biogas/kg fresh matter]</t>
  </si>
  <si>
    <t xml:space="preserve">SM_n standard moisture [kg water/kg FM]</t>
  </si>
  <si>
    <t xml:space="preserve">Compression surcharge at the filling station (only when used as compressed biomethane in transport)</t>
  </si>
  <si>
    <t xml:space="preserve">typical value [g CO2eq/MJ]</t>
  </si>
  <si>
    <t xml:space="preserve">default value [g CO2eq/MJ]</t>
  </si>
  <si>
    <t xml:space="preserve">Exergy (Annex VI, Part B, point 1(d))</t>
  </si>
  <si>
    <t xml:space="preserve">C_el (exergy share of electricity)</t>
  </si>
  <si>
    <t xml:space="preserve">C_h for space heating &lt; 150 °C (permitted alternative)</t>
  </si>
  <si>
    <t xml:space="preserve">T_0 ambient temperature [K]</t>
  </si>
  <si>
    <t xml:space="preserve">Calculation (traceable intermediate steps)</t>
  </si>
  <si>
    <t xml:space="preserve">Key</t>
  </si>
  <si>
    <t xml:space="preserve">E_n [g/MJ]</t>
  </si>
  <si>
    <t xml:space="preserve">I_n</t>
  </si>
  <si>
    <t xml:space="preserve">AM_n</t>
  </si>
  <si>
    <t xml:space="preserve">SM_n</t>
  </si>
  <si>
    <t xml:space="preserve">P_n</t>
  </si>
  <si>
    <t xml:space="preserve">W_n</t>
  </si>
  <si>
    <t xml:space="preserve">P_n·W_n</t>
  </si>
  <si>
    <t xml:space="preserve">S_n</t>
  </si>
  <si>
    <t xml:space="preserve">S_n·E_n</t>
  </si>
  <si>
    <t xml:space="preserve">Σ I_n (fresh-matter input, normalised)</t>
  </si>
  <si>
    <t xml:space="preserve">Σ P_n·W_n</t>
  </si>
  <si>
    <t xml:space="preserve">E co-digestion = Σ S_n·E_n [g CO2eq/MJ biomethane]</t>
  </si>
  <si>
    <t xml:space="preserve">Compression surcharge (transport only) [g CO2eq/MJ]</t>
  </si>
  <si>
    <t xml:space="preserve">E total before final conversion [g CO2eq/MJ biomethane]</t>
  </si>
  <si>
    <t xml:space="preserve">η_el</t>
  </si>
  <si>
    <t xml:space="preserve">η_h</t>
  </si>
  <si>
    <t xml:space="preserve">T_h [K]</t>
  </si>
  <si>
    <t xml:space="preserve">C_h (Carnot)</t>
  </si>
  <si>
    <t xml:space="preserve">Annex VI, Part B, point 1(d)</t>
  </si>
  <si>
    <t xml:space="preserve">Allocation factor electricity C_el·η_el/(C_el·η_el + C_h·η_h)</t>
  </si>
  <si>
    <t xml:space="preserve">Allocation factor heat C_h·η_h/(C_el·η_el + C_h·η_h)</t>
  </si>
  <si>
    <t xml:space="preserve">EC_el [g CO2eq/MJ electricity]</t>
  </si>
  <si>
    <t xml:space="preserve">EC_h [g CO2eq/MJ heat]</t>
  </si>
  <si>
    <t xml:space="preserve">Comparator transport</t>
  </si>
  <si>
    <t xml:space="preserve">Comparator electricity</t>
  </si>
  <si>
    <t xml:space="preserve">Comparator heat</t>
  </si>
  <si>
    <t xml:space="preserve">Commissioning</t>
  </si>
  <si>
    <t xml:space="preserve">Total rated thermal input [MW]</t>
  </si>
  <si>
    <t xml:space="preserve">End of 15th year of operation</t>
  </si>
  <si>
    <t xml:space="preserve">Minimum saving transport</t>
  </si>
  <si>
    <t xml:space="preserve">point (transport)</t>
  </si>
  <si>
    <t xml:space="preserve">point (electricity/heat)</t>
  </si>
  <si>
    <t xml:space="preserve">Start of 80 % obligation (points (e)–(h))</t>
  </si>
  <si>
    <t xml:space="preserve">Minimum saving electricity/heat</t>
  </si>
  <si>
    <t xml:space="preserve">“none” = no minimum saving before the end of the transition period</t>
  </si>
  <si>
    <t xml:space="preserve">Use: transport?</t>
  </si>
  <si>
    <t xml:space="preserve">Use: electricity only?</t>
  </si>
  <si>
    <t xml:space="preserve">Use: heat only?</t>
  </si>
  <si>
    <t xml:space="preserve">Use: CHP?</t>
  </si>
  <si>
    <t xml:space="preserve">Default value permitted? (e_l ≤ 0 or no maize)</t>
  </si>
  <si>
    <t xml:space="preserve">Art. 31(1)(a)</t>
  </si>
  <si>
    <t xml:space="preserve">Default value selected?</t>
  </si>
  <si>
    <t xml:space="preserve">Scope: utilisation plant ≥ 2 MW?</t>
  </si>
  <si>
    <t xml:space="preserve">Art. 29(1), fourth subparagraph, point (b)</t>
  </si>
  <si>
    <t xml:space="preserve">Production plant &gt; 200 m³/h?</t>
  </si>
  <si>
    <t xml:space="preserve">Art. 29(1), fourth subparagraph, point (c)</t>
  </si>
  <si>
    <t xml:space="preserve">Product</t>
  </si>
  <si>
    <t xml:space="preserve">relevant</t>
  </si>
  <si>
    <t xml:space="preserve">Emissions</t>
  </si>
  <si>
    <t xml:space="preserve">Comparator</t>
  </si>
  <si>
    <t xml:space="preserve">Saving</t>
  </si>
  <si>
    <t xml:space="preserve">Transport</t>
  </si>
  <si>
    <t xml:space="preserve">Heat</t>
  </si>
  <si>
    <t xml:space="preserve">Result sentence</t>
  </si>
  <si>
    <t xml:space="preserve">Notes</t>
  </si>
  <si>
    <t xml:space="preserve">SEG colour palette</t>
  </si>
  <si>
    <t xml:space="preserve">Font</t>
  </si>
  <si>
    <t xml:space="preserve">Calibri</t>
  </si>
  <si>
    <t xml:space="preserve">Primary color</t>
  </si>
  <si>
    <t xml:space="preserve">test</t>
  </si>
  <si>
    <t xml:space="preserve">Secondary Colors</t>
  </si>
  <si>
    <t xml:space="preserve">Yes/No</t>
  </si>
  <si>
    <t xml:space="preserve">Typical value</t>
  </si>
  <si>
    <t xml:space="preserve">Electricity generation (without heat use)</t>
  </si>
  <si>
    <t xml:space="preserve">Heat/cooling generation (without electricity)</t>
  </si>
</sst>
</file>

<file path=xl/styles.xml><?xml version="1.0" encoding="utf-8"?>
<styleSheet xmlns="http://schemas.openxmlformats.org/spreadsheetml/2006/main">
  <numFmts count="13">
    <numFmt numFmtId="164" formatCode="General"/>
    <numFmt numFmtId="165" formatCode="@"/>
    <numFmt numFmtId="166" formatCode="#,##0.0"/>
    <numFmt numFmtId="167" formatCode="0.0"/>
    <numFmt numFmtId="168" formatCode="0"/>
    <numFmt numFmtId="169" formatCode="0.0%"/>
    <numFmt numFmtId="170" formatCode="dd\.mm\.yyyy"/>
    <numFmt numFmtId="171" formatCode="#,##0"/>
    <numFmt numFmtId="172" formatCode="0%"/>
    <numFmt numFmtId="173" formatCode="0.00"/>
    <numFmt numFmtId="174" formatCode="0.0000"/>
    <numFmt numFmtId="175" formatCode="0.000"/>
    <numFmt numFmtId="176" formatCode="General"/>
  </numFmts>
  <fonts count="27">
    <font>
      <sz val="11"/>
      <color theme="1"/>
      <name val="Calibri"/>
      <family val="2"/>
      <charset val="1"/>
    </font>
    <font>
      <sz val="10"/>
      <name val="Arial"/>
      <family val="0"/>
    </font>
    <font>
      <sz val="10"/>
      <name val="Arial"/>
      <family val="0"/>
    </font>
    <font>
      <sz val="10"/>
      <name val="Arial"/>
      <family val="0"/>
    </font>
    <font>
      <b val="true"/>
      <sz val="11"/>
      <name val="Calibri"/>
      <family val="2"/>
      <charset val="1"/>
    </font>
    <font>
      <sz val="11"/>
      <color rgb="FF000000"/>
      <name val="Calibri"/>
      <family val="2"/>
      <charset val="1"/>
    </font>
    <font>
      <sz val="11"/>
      <color rgb="FF31352E"/>
      <name val="Calibri"/>
      <family val="2"/>
      <charset val="1"/>
    </font>
    <font>
      <b val="true"/>
      <sz val="24"/>
      <color rgb="FF31352E"/>
      <name val="Calibri"/>
      <family val="2"/>
      <charset val="1"/>
    </font>
    <font>
      <b val="true"/>
      <sz val="11"/>
      <color rgb="FF31352E"/>
      <name val="Calibri"/>
      <family val="2"/>
      <charset val="1"/>
    </font>
    <font>
      <i val="true"/>
      <sz val="11"/>
      <color rgb="FF000000"/>
      <name val="Calibri"/>
      <family val="0"/>
    </font>
    <font>
      <b val="true"/>
      <sz val="24"/>
      <color rgb="FF31352E"/>
      <name val="Calibri"/>
      <family val="0"/>
      <charset val="1"/>
    </font>
    <font>
      <i val="true"/>
      <sz val="10"/>
      <color rgb="FF31352E"/>
      <name val="Calibri"/>
      <family val="0"/>
      <charset val="1"/>
    </font>
    <font>
      <b val="true"/>
      <sz val="14"/>
      <color rgb="FF31352E"/>
      <name val="Calibri"/>
      <family val="0"/>
      <charset val="1"/>
    </font>
    <font>
      <b val="true"/>
      <sz val="10"/>
      <color rgb="FF31352E"/>
      <name val="Calibri"/>
      <family val="0"/>
      <charset val="1"/>
    </font>
    <font>
      <sz val="10"/>
      <color rgb="FF8C8C8C"/>
      <name val="Calibri"/>
      <family val="0"/>
      <charset val="1"/>
    </font>
    <font>
      <sz val="10"/>
      <color rgb="FF31352E"/>
      <name val="Calibri"/>
      <family val="0"/>
      <charset val="1"/>
    </font>
    <font>
      <i val="true"/>
      <sz val="9"/>
      <color rgb="FF5E6157"/>
      <name val="Calibri"/>
      <family val="0"/>
      <charset val="1"/>
    </font>
    <font>
      <b val="true"/>
      <sz val="13"/>
      <color rgb="FFFFFFFF"/>
      <name val="Calibri"/>
      <family val="0"/>
      <charset val="1"/>
    </font>
    <font>
      <sz val="11"/>
      <color rgb="FF31352E"/>
      <name val="Calibri"/>
      <family val="0"/>
      <charset val="1"/>
    </font>
    <font>
      <b val="true"/>
      <sz val="11"/>
      <color rgb="FF31352E"/>
      <name val="Calibri"/>
      <family val="0"/>
      <charset val="1"/>
    </font>
    <font>
      <b val="true"/>
      <sz val="12"/>
      <color rgb="FFFFFFFF"/>
      <name val="Calibri"/>
      <family val="0"/>
      <charset val="1"/>
    </font>
    <font>
      <sz val="10"/>
      <color rgb="FF9C0006"/>
      <name val="Calibri"/>
      <family val="0"/>
      <charset val="1"/>
    </font>
    <font>
      <i val="true"/>
      <sz val="9"/>
      <color rgb="FF31352E"/>
      <name val="Calibri"/>
      <family val="0"/>
      <charset val="1"/>
    </font>
    <font>
      <sz val="9"/>
      <color rgb="FF225856"/>
      <name val="Calibri"/>
      <family val="0"/>
      <charset val="1"/>
    </font>
    <font>
      <sz val="10"/>
      <name val="Arial"/>
      <family val="2"/>
    </font>
    <font>
      <b val="true"/>
      <sz val="16"/>
      <color rgb="FF31352E"/>
      <name val="Calibri"/>
      <family val="0"/>
      <charset val="1"/>
    </font>
    <font>
      <b val="true"/>
      <sz val="12"/>
      <color rgb="FF31352E"/>
      <name val="Calibri"/>
      <family val="0"/>
      <charset val="1"/>
    </font>
  </fonts>
  <fills count="32">
    <fill>
      <patternFill patternType="none"/>
    </fill>
    <fill>
      <patternFill patternType="gray125"/>
    </fill>
    <fill>
      <patternFill patternType="solid">
        <fgColor rgb="FFDDDDDD"/>
        <bgColor rgb="FFE4E4DC"/>
      </patternFill>
    </fill>
    <fill>
      <patternFill patternType="solid">
        <fgColor rgb="FFFFFFFF"/>
        <bgColor rgb="FFFBF9ED"/>
      </patternFill>
    </fill>
    <fill>
      <patternFill patternType="solid">
        <fgColor rgb="FFF3F6E8"/>
        <bgColor rgb="FFFBF9ED"/>
      </patternFill>
    </fill>
    <fill>
      <patternFill patternType="solid">
        <fgColor rgb="FFD6D6D6"/>
        <bgColor rgb="FFDDDDDD"/>
      </patternFill>
    </fill>
    <fill>
      <patternFill patternType="solid">
        <fgColor rgb="FFE4E4DC"/>
        <bgColor rgb="FFDDDDDD"/>
      </patternFill>
    </fill>
    <fill>
      <patternFill patternType="solid">
        <fgColor rgb="FF778A35"/>
        <bgColor rgb="FF8C8C8C"/>
      </patternFill>
    </fill>
    <fill>
      <patternFill patternType="solid">
        <fgColor rgb="FF546713"/>
        <bgColor rgb="FF5E6157"/>
      </patternFill>
    </fill>
    <fill>
      <patternFill patternType="solid">
        <fgColor rgb="FFCFE091"/>
        <bgColor rgb="FFC6EFCE"/>
      </patternFill>
    </fill>
    <fill>
      <patternFill patternType="solid">
        <fgColor rgb="FF31352E"/>
        <bgColor rgb="FF2E2600"/>
      </patternFill>
    </fill>
    <fill>
      <patternFill patternType="solid">
        <fgColor rgb="FF181C0B"/>
        <bgColor rgb="FF2E2600"/>
      </patternFill>
    </fill>
    <fill>
      <patternFill patternType="solid">
        <fgColor rgb="FFE3F4F4"/>
        <bgColor rgb="FFF3F6E8"/>
      </patternFill>
    </fill>
    <fill>
      <patternFill patternType="solid">
        <fgColor rgb="FF5C8F8D"/>
        <bgColor rgb="FF8C8C8C"/>
      </patternFill>
    </fill>
    <fill>
      <patternFill patternType="solid">
        <fgColor rgb="FF225856"/>
        <bgColor rgb="FF0C413F"/>
      </patternFill>
    </fill>
    <fill>
      <patternFill patternType="solid">
        <fgColor rgb="FF0C413F"/>
        <bgColor rgb="FF225856"/>
      </patternFill>
    </fill>
    <fill>
      <patternFill patternType="solid">
        <fgColor rgb="FF000D0C"/>
        <bgColor rgb="FF000000"/>
      </patternFill>
    </fill>
    <fill>
      <patternFill patternType="solid">
        <fgColor rgb="FFF6EFE8"/>
        <bgColor rgb="FFF3F6E8"/>
      </patternFill>
    </fill>
    <fill>
      <patternFill patternType="solid">
        <fgColor rgb="FFEBBD98"/>
        <bgColor rgb="FFFFC7CE"/>
      </patternFill>
    </fill>
    <fill>
      <patternFill patternType="solid">
        <fgColor rgb="FF905F37"/>
        <bgColor rgb="FF5E6157"/>
      </patternFill>
    </fill>
    <fill>
      <patternFill patternType="solid">
        <fgColor rgb="FF6C3B13"/>
        <bgColor rgb="FF68285B"/>
      </patternFill>
    </fill>
    <fill>
      <patternFill patternType="solid">
        <fgColor rgb="FF150900"/>
        <bgColor rgb="FF0F000C"/>
      </patternFill>
    </fill>
    <fill>
      <patternFill patternType="solid">
        <fgColor rgb="FFF5E5F2"/>
        <bgColor rgb="FFF6EFE8"/>
      </patternFill>
    </fill>
    <fill>
      <patternFill patternType="solid">
        <fgColor rgb="FFA86D9D"/>
        <bgColor rgb="FF8C8C8C"/>
      </patternFill>
    </fill>
    <fill>
      <patternFill patternType="solid">
        <fgColor rgb="FF68285B"/>
        <bgColor rgb="FF4D0E41"/>
      </patternFill>
    </fill>
    <fill>
      <patternFill patternType="solid">
        <fgColor rgb="FF4D0E41"/>
        <bgColor rgb="FF68285B"/>
      </patternFill>
    </fill>
    <fill>
      <patternFill patternType="solid">
        <fgColor rgb="FF0F000C"/>
        <bgColor rgb="FF150900"/>
      </patternFill>
    </fill>
    <fill>
      <patternFill patternType="solid">
        <fgColor rgb="FFFBF9ED"/>
        <bgColor rgb="FFF3F6E8"/>
      </patternFill>
    </fill>
    <fill>
      <patternFill patternType="solid">
        <fgColor rgb="FFFFEE98"/>
        <bgColor rgb="FFF6EFE8"/>
      </patternFill>
    </fill>
    <fill>
      <patternFill patternType="solid">
        <fgColor rgb="FFD9C148"/>
        <bgColor rgb="FFEBBD98"/>
      </patternFill>
    </fill>
    <fill>
      <patternFill patternType="solid">
        <fgColor rgb="FFB89E1D"/>
        <bgColor rgb="FFD9C148"/>
      </patternFill>
    </fill>
    <fill>
      <patternFill patternType="solid">
        <fgColor rgb="FF2E2600"/>
        <bgColor rgb="FF181C0B"/>
      </patternFill>
    </fill>
  </fills>
  <borders count="18">
    <border diagonalUp="false" diagonalDown="false">
      <left/>
      <right/>
      <top/>
      <bottom/>
      <diagonal/>
    </border>
    <border diagonalUp="false" diagonalDown="false">
      <left/>
      <right/>
      <top/>
      <bottom style="thin">
        <color rgb="FF778A35"/>
      </bottom>
      <diagonal/>
    </border>
    <border diagonalUp="false" diagonalDown="false">
      <left/>
      <right/>
      <top/>
      <bottom style="thin">
        <color theme="0"/>
      </bottom>
      <diagonal/>
    </border>
    <border diagonalUp="false" diagonalDown="false">
      <left/>
      <right/>
      <top style="thin">
        <color theme="0"/>
      </top>
      <bottom style="thin">
        <color theme="0"/>
      </bottom>
      <diagonal/>
    </border>
    <border diagonalUp="false" diagonalDown="false">
      <left style="medium">
        <color rgb="FF546713"/>
      </left>
      <right style="medium">
        <color rgb="FF546713"/>
      </right>
      <top style="medium">
        <color rgb="FF546713"/>
      </top>
      <bottom style="medium">
        <color rgb="FF546713"/>
      </bottom>
      <diagonal/>
    </border>
    <border diagonalUp="false" diagonalDown="false">
      <left/>
      <right/>
      <top/>
      <bottom style="thin">
        <color rgb="FF546713"/>
      </bottom>
      <diagonal/>
    </border>
    <border diagonalUp="false" diagonalDown="false">
      <left style="thin">
        <color rgb="FFB8B39A"/>
      </left>
      <right style="thin">
        <color rgb="FFB8B39A"/>
      </right>
      <top style="thin">
        <color rgb="FFB8B39A"/>
      </top>
      <bottom style="thin">
        <color rgb="FFB8B39A"/>
      </botto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cellStyleXfs>
  <cellXfs count="114">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false" indent="0" shrinkToFit="false"/>
      <protection locked="true" hidden="false"/>
    </xf>
    <xf numFmtId="164" fontId="6" fillId="3" borderId="0" xfId="0" applyFont="true" applyBorder="true" applyAlignment="true" applyProtection="true">
      <alignment horizontal="general" vertical="top"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8" fillId="3" borderId="0" xfId="0" applyFont="true" applyBorder="true" applyAlignment="true" applyProtection="true">
      <alignment horizontal="general" vertical="top" textRotation="0" wrapText="true" indent="0" shrinkToFit="false"/>
      <protection locked="true" hidden="false"/>
    </xf>
    <xf numFmtId="164" fontId="6" fillId="3" borderId="0" xfId="0" applyFont="true" applyBorder="true" applyAlignment="true" applyProtection="true">
      <alignment horizontal="general" vertical="top" textRotation="0" wrapText="tru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5" fontId="6" fillId="3" borderId="0" xfId="0" applyFont="true" applyBorder="true" applyAlignment="true" applyProtection="true">
      <alignment horizontal="left" vertical="top" textRotation="0" wrapText="true" indent="0" shrinkToFit="false"/>
      <protection locked="true" hidden="false"/>
    </xf>
    <xf numFmtId="164" fontId="6" fillId="3" borderId="0" xfId="0" applyFont="true" applyBorder="true" applyAlignment="true" applyProtection="true">
      <alignment horizontal="left" vertical="top" textRotation="0" wrapText="tru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8" fillId="3" borderId="0" xfId="0" applyFont="true" applyBorder="true" applyAlignment="true" applyProtection="true">
      <alignment horizontal="left" vertical="center" textRotation="0" wrapText="true" indent="0" shrinkToFit="false"/>
      <protection locked="true" hidden="false"/>
    </xf>
    <xf numFmtId="164" fontId="6" fillId="0" borderId="2" xfId="0" applyFont="true" applyBorder="true" applyAlignment="true" applyProtection="true">
      <alignment horizontal="general" vertical="bottom" textRotation="0" wrapText="false" indent="0" shrinkToFit="false"/>
      <protection locked="true" hidden="false"/>
    </xf>
    <xf numFmtId="164" fontId="6" fillId="0" borderId="3"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general"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center" textRotation="0" wrapText="false" indent="0" shrinkToFit="false"/>
      <protection locked="true" hidden="false"/>
    </xf>
    <xf numFmtId="164" fontId="0" fillId="4" borderId="0" xfId="0" applyFont="false" applyBorder="true" applyAlignment="true" applyProtection="true">
      <alignment horizontal="general" vertical="bottom" textRotation="0" wrapText="false" indent="0" shrinkToFit="false"/>
      <protection locked="true" hidden="false"/>
    </xf>
    <xf numFmtId="164" fontId="12" fillId="4" borderId="0" xfId="0" applyFont="true" applyBorder="true" applyAlignment="true" applyProtection="true">
      <alignment horizontal="general" vertical="center" textRotation="0" wrapText="false" indent="0" shrinkToFit="false"/>
      <protection locked="true" hidden="false"/>
    </xf>
    <xf numFmtId="164" fontId="13" fillId="3" borderId="4" xfId="0" applyFont="true" applyBorder="true" applyAlignment="true" applyProtection="true">
      <alignment horizontal="center" vertical="center" textRotation="0" wrapText="false" indent="0" shrinkToFit="false"/>
      <protection locked="true" hidden="false"/>
    </xf>
    <xf numFmtId="164" fontId="14" fillId="5" borderId="0" xfId="0" applyFont="true" applyBorder="true" applyAlignment="true" applyProtection="true">
      <alignment horizontal="center" vertical="center" textRotation="0" wrapText="false" indent="0" shrinkToFit="false"/>
      <protection locked="true" hidden="false"/>
    </xf>
    <xf numFmtId="164" fontId="15" fillId="6" borderId="0" xfId="0" applyFont="true" applyBorder="true" applyAlignment="true" applyProtection="true">
      <alignment horizontal="center" vertical="center" textRotation="0" wrapText="false" indent="0" shrinkToFit="false"/>
      <protection locked="true" hidden="false"/>
    </xf>
    <xf numFmtId="164" fontId="16" fillId="4" borderId="0" xfId="0" applyFont="true" applyBorder="true" applyAlignment="true" applyProtection="true">
      <alignment horizontal="general" vertical="center" textRotation="0" wrapText="true" indent="0" shrinkToFit="false"/>
      <protection locked="true" hidden="false"/>
    </xf>
    <xf numFmtId="164" fontId="17" fillId="7" borderId="0" xfId="0" applyFont="true" applyBorder="true" applyAlignment="true" applyProtection="true">
      <alignment horizontal="general" vertical="center" textRotation="0" wrapText="false" indent="0" shrinkToFit="false"/>
      <protection locked="true" hidden="false"/>
    </xf>
    <xf numFmtId="164" fontId="0" fillId="7" borderId="0" xfId="0" applyFont="false" applyBorder="true" applyAlignment="true" applyProtection="true">
      <alignment horizontal="general" vertical="bottom" textRotation="0" wrapText="false" indent="0" shrinkToFit="false"/>
      <protection locked="true" hidden="false"/>
    </xf>
    <xf numFmtId="164" fontId="13" fillId="4" borderId="5" xfId="0" applyFont="true" applyBorder="true" applyAlignment="true" applyProtection="true">
      <alignment horizontal="general" vertical="center" textRotation="0" wrapText="true" indent="0" shrinkToFit="false"/>
      <protection locked="true" hidden="false"/>
    </xf>
    <xf numFmtId="164" fontId="13" fillId="4" borderId="5" xfId="0" applyFont="true" applyBorder="true" applyAlignment="true" applyProtection="true">
      <alignment horizontal="center" vertical="center" textRotation="0" wrapText="true" indent="0" shrinkToFit="false"/>
      <protection locked="true" hidden="false"/>
    </xf>
    <xf numFmtId="164" fontId="18" fillId="4" borderId="0" xfId="0" applyFont="true" applyBorder="true" applyAlignment="true" applyProtection="true">
      <alignment horizontal="general" vertical="center" textRotation="0" wrapText="true" indent="0" shrinkToFit="false"/>
      <protection locked="true" hidden="false"/>
    </xf>
    <xf numFmtId="166" fontId="19" fillId="3" borderId="4" xfId="0" applyFont="true" applyBorder="true" applyAlignment="true" applyProtection="true">
      <alignment horizontal="center" vertical="center" textRotation="0" wrapText="false" indent="0" shrinkToFit="false"/>
      <protection locked="true" hidden="false"/>
    </xf>
    <xf numFmtId="167" fontId="19" fillId="3" borderId="4" xfId="0" applyFont="true" applyBorder="true" applyAlignment="true" applyProtection="true">
      <alignment horizontal="center" vertical="center" textRotation="0" wrapText="false" indent="0" shrinkToFit="false"/>
      <protection locked="true" hidden="false"/>
    </xf>
    <xf numFmtId="168" fontId="18" fillId="6" borderId="6" xfId="0" applyFont="true" applyBorder="true" applyAlignment="true" applyProtection="true">
      <alignment horizontal="center" vertical="center" textRotation="0" wrapText="false" indent="0" shrinkToFit="false"/>
      <protection locked="true" hidden="false"/>
    </xf>
    <xf numFmtId="169" fontId="18" fillId="6" borderId="6" xfId="0" applyFont="true" applyBorder="true" applyAlignment="true" applyProtection="true">
      <alignment horizontal="center" vertical="center" textRotation="0" wrapText="false" indent="0" shrinkToFit="false"/>
      <protection locked="true" hidden="false"/>
    </xf>
    <xf numFmtId="164" fontId="19" fillId="4" borderId="0" xfId="0" applyFont="true" applyBorder="true" applyAlignment="true" applyProtection="true">
      <alignment horizontal="general" vertical="center" textRotation="0" wrapText="true" indent="0" shrinkToFit="false"/>
      <protection locked="true" hidden="false"/>
    </xf>
    <xf numFmtId="166" fontId="19" fillId="6" borderId="6" xfId="0" applyFont="true" applyBorder="true" applyAlignment="true" applyProtection="true">
      <alignment horizontal="center" vertical="center" textRotation="0" wrapText="false" indent="0" shrinkToFit="false"/>
      <protection locked="true" hidden="false"/>
    </xf>
    <xf numFmtId="169" fontId="19" fillId="6" borderId="6" xfId="0" applyFont="true" applyBorder="true" applyAlignment="true" applyProtection="true">
      <alignment horizontal="center" vertical="center" textRotation="0" wrapText="false" indent="0" shrinkToFit="false"/>
      <protection locked="true" hidden="false"/>
    </xf>
    <xf numFmtId="164" fontId="16" fillId="4" borderId="0" xfId="0" applyFont="true" applyBorder="true" applyAlignment="true" applyProtection="true">
      <alignment horizontal="general" vertical="top" textRotation="0" wrapText="true" indent="0" shrinkToFit="false"/>
      <protection locked="true" hidden="false"/>
    </xf>
    <xf numFmtId="164" fontId="19" fillId="3" borderId="4" xfId="0" applyFont="true" applyBorder="true" applyAlignment="true" applyProtection="true">
      <alignment horizontal="center" vertical="center" textRotation="0" wrapText="false" indent="0" shrinkToFit="false"/>
      <protection locked="true" hidden="false"/>
    </xf>
    <xf numFmtId="168" fontId="19" fillId="3" borderId="4" xfId="0" applyFont="true" applyBorder="true" applyAlignment="true" applyProtection="true">
      <alignment horizontal="center" vertical="center" textRotation="0" wrapText="false" indent="0" shrinkToFit="false"/>
      <protection locked="true" hidden="false"/>
    </xf>
    <xf numFmtId="170" fontId="19" fillId="3" borderId="4" xfId="0" applyFont="true" applyBorder="true" applyAlignment="true" applyProtection="true">
      <alignment horizontal="center" vertical="center" textRotation="0" wrapText="false" indent="0" shrinkToFit="false"/>
      <protection locked="true" hidden="false"/>
    </xf>
    <xf numFmtId="171" fontId="19" fillId="3" borderId="4" xfId="0" applyFont="true" applyBorder="true" applyAlignment="true" applyProtection="true">
      <alignment horizontal="center" vertical="center" textRotation="0" wrapText="false" indent="0" shrinkToFit="false"/>
      <protection locked="true" hidden="false"/>
    </xf>
    <xf numFmtId="167" fontId="19" fillId="6" borderId="6" xfId="0" applyFont="true" applyBorder="true" applyAlignment="true" applyProtection="true">
      <alignment horizontal="center" vertical="center" textRotation="0" wrapText="false" indent="0" shrinkToFit="false"/>
      <protection locked="true" hidden="false"/>
    </xf>
    <xf numFmtId="164" fontId="16" fillId="4" borderId="0" xfId="0" applyFont="true" applyBorder="true" applyAlignment="true" applyProtection="true">
      <alignment horizontal="general" vertical="center" textRotation="0" wrapText="false" indent="0" shrinkToFit="false"/>
      <protection locked="true" hidden="false"/>
    </xf>
    <xf numFmtId="164" fontId="19" fillId="4" borderId="5" xfId="0" applyFont="true" applyBorder="true" applyAlignment="true" applyProtection="true">
      <alignment horizontal="general" vertical="center" textRotation="0" wrapText="true" indent="0" shrinkToFit="false"/>
      <protection locked="true" hidden="false"/>
    </xf>
    <xf numFmtId="164" fontId="19" fillId="4" borderId="5" xfId="0" applyFont="true" applyBorder="true" applyAlignment="true" applyProtection="true">
      <alignment horizontal="center" vertical="center" textRotation="0" wrapText="true" indent="0" shrinkToFit="false"/>
      <protection locked="true" hidden="false"/>
    </xf>
    <xf numFmtId="164" fontId="18" fillId="4" borderId="6" xfId="0" applyFont="true" applyBorder="true" applyAlignment="true" applyProtection="true">
      <alignment horizontal="general" vertical="center" textRotation="0" wrapText="false" indent="0" shrinkToFit="false"/>
      <protection locked="true" hidden="false"/>
    </xf>
    <xf numFmtId="172" fontId="18" fillId="6" borderId="6" xfId="0" applyFont="true" applyBorder="true" applyAlignment="true" applyProtection="true">
      <alignment horizontal="center" vertical="center" textRotation="0" wrapText="false" indent="0" shrinkToFit="false"/>
      <protection locked="true" hidden="false"/>
    </xf>
    <xf numFmtId="164" fontId="19" fillId="6" borderId="6" xfId="0" applyFont="true" applyBorder="true" applyAlignment="true" applyProtection="true">
      <alignment horizontal="center" vertical="center" textRotation="0" wrapText="true" indent="0" shrinkToFit="false"/>
      <protection locked="true" hidden="false"/>
    </xf>
    <xf numFmtId="164" fontId="20" fillId="8" borderId="0" xfId="0" applyFont="true" applyBorder="true" applyAlignment="true" applyProtection="true">
      <alignment horizontal="center" vertical="center" textRotation="0" wrapText="true" indent="0" shrinkToFit="false"/>
      <protection locked="true" hidden="false"/>
    </xf>
    <xf numFmtId="164" fontId="19" fillId="4" borderId="0" xfId="0" applyFont="true" applyBorder="true" applyAlignment="true" applyProtection="true">
      <alignment horizontal="general" vertical="center" textRotation="0" wrapText="false" indent="0" shrinkToFit="false"/>
      <protection locked="true" hidden="false"/>
    </xf>
    <xf numFmtId="164" fontId="15" fillId="6" borderId="0" xfId="0" applyFont="true" applyBorder="true" applyAlignment="true" applyProtection="true">
      <alignment horizontal="general" vertical="center" textRotation="0" wrapText="true" indent="0" shrinkToFit="false"/>
      <protection locked="true" hidden="false"/>
    </xf>
    <xf numFmtId="164" fontId="21" fillId="4" borderId="0" xfId="0" applyFont="true" applyBorder="true" applyAlignment="true" applyProtection="true">
      <alignment horizontal="general" vertical="center" textRotation="0" wrapText="true" indent="0" shrinkToFit="false"/>
      <protection locked="true" hidden="false"/>
    </xf>
    <xf numFmtId="164" fontId="22" fillId="0" borderId="0" xfId="0" applyFont="true" applyBorder="true" applyAlignment="true" applyProtection="true">
      <alignment horizontal="general" vertical="top" textRotation="0" wrapText="true" indent="0" shrinkToFit="false"/>
      <protection locked="true" hidden="false"/>
    </xf>
    <xf numFmtId="164" fontId="23" fillId="0" borderId="0" xfId="0" applyFont="true" applyBorder="true" applyAlignment="true" applyProtection="true">
      <alignment horizontal="general" vertical="center" textRotation="0" wrapText="false" indent="0" shrinkToFit="false"/>
      <protection locked="true" hidden="false"/>
    </xf>
    <xf numFmtId="164" fontId="25" fillId="0" borderId="0" xfId="0" applyFont="true" applyBorder="true" applyAlignment="true" applyProtection="true">
      <alignment horizontal="general" vertical="center" textRotation="0" wrapText="false" indent="0" shrinkToFit="false"/>
      <protection locked="true" hidden="false"/>
    </xf>
    <xf numFmtId="164" fontId="13" fillId="9" borderId="6" xfId="0" applyFont="true" applyBorder="true" applyAlignment="true" applyProtection="true">
      <alignment horizontal="center" vertical="center" textRotation="0" wrapText="false" indent="0" shrinkToFit="false"/>
      <protection locked="true" hidden="false"/>
    </xf>
    <xf numFmtId="164" fontId="15" fillId="0" borderId="6" xfId="0" applyFont="true" applyBorder="true" applyAlignment="true" applyProtection="true">
      <alignment horizontal="center" vertical="top" textRotation="0" wrapText="true" indent="0" shrinkToFit="false"/>
      <protection locked="true" hidden="false"/>
    </xf>
    <xf numFmtId="164" fontId="15" fillId="0" borderId="6" xfId="0" applyFont="true" applyBorder="true" applyAlignment="true" applyProtection="true">
      <alignment horizontal="general" vertical="top" textRotation="0" wrapText="true" indent="0" shrinkToFit="false"/>
      <protection locked="true" hidden="false"/>
    </xf>
    <xf numFmtId="164" fontId="26" fillId="0" borderId="0" xfId="0" applyFont="true" applyBorder="true" applyAlignment="true" applyProtection="true">
      <alignment horizontal="general" vertical="center" textRotation="0" wrapText="false" indent="0" shrinkToFit="false"/>
      <protection locked="true" hidden="false"/>
    </xf>
    <xf numFmtId="164" fontId="15" fillId="0" borderId="6" xfId="0" applyFont="true" applyBorder="true" applyAlignment="true" applyProtection="true">
      <alignment horizontal="general" vertical="center" textRotation="0" wrapText="false" indent="0" shrinkToFit="false"/>
      <protection locked="true" hidden="false"/>
    </xf>
    <xf numFmtId="164" fontId="15" fillId="0" borderId="6" xfId="0" applyFont="true" applyBorder="true" applyAlignment="true" applyProtection="true">
      <alignment horizontal="center" vertical="center" textRotation="0" wrapText="false" indent="0" shrinkToFit="false"/>
      <protection locked="true" hidden="false"/>
    </xf>
    <xf numFmtId="164" fontId="15" fillId="0" borderId="6" xfId="0" applyFont="true" applyBorder="true" applyAlignment="true" applyProtection="true">
      <alignment horizontal="general" vertical="center" textRotation="0" wrapText="true" indent="0" shrinkToFit="false"/>
      <protection locked="true" hidden="false"/>
    </xf>
    <xf numFmtId="172" fontId="15" fillId="0" borderId="6" xfId="0" applyFont="true" applyBorder="true" applyAlignment="true" applyProtection="true">
      <alignment horizontal="center" vertical="center" textRotation="0" wrapText="false" indent="0" shrinkToFit="false"/>
      <protection locked="true" hidden="false"/>
    </xf>
    <xf numFmtId="170" fontId="15" fillId="0" borderId="6" xfId="0" applyFont="true" applyBorder="true" applyAlignment="true" applyProtection="true">
      <alignment horizontal="center" vertical="center" textRotation="0" wrapText="false" indent="0" shrinkToFit="false"/>
      <protection locked="true" hidden="false"/>
    </xf>
    <xf numFmtId="164" fontId="13" fillId="9" borderId="6" xfId="0" applyFont="true" applyBorder="true" applyAlignment="true" applyProtection="true">
      <alignment horizontal="center" vertical="center" textRotation="0" wrapText="true" indent="0" shrinkToFit="false"/>
      <protection locked="true" hidden="false"/>
    </xf>
    <xf numFmtId="168" fontId="15" fillId="0" borderId="6" xfId="0" applyFont="true" applyBorder="true" applyAlignment="true" applyProtection="true">
      <alignment horizontal="center" vertical="center" textRotation="0" wrapText="false" indent="0" shrinkToFit="false"/>
      <protection locked="true" hidden="false"/>
    </xf>
    <xf numFmtId="173" fontId="15" fillId="0" borderId="6" xfId="0" applyFont="true" applyBorder="true" applyAlignment="true" applyProtection="true">
      <alignment horizontal="center" vertical="center" textRotation="0" wrapText="false" indent="0" shrinkToFit="false"/>
      <protection locked="true" hidden="false"/>
    </xf>
    <xf numFmtId="167" fontId="15" fillId="0" borderId="6" xfId="0" applyFont="true" applyBorder="true" applyAlignment="true" applyProtection="true">
      <alignment horizontal="center" vertical="center" textRotation="0" wrapText="false" indent="0" shrinkToFit="false"/>
      <protection locked="true" hidden="false"/>
    </xf>
    <xf numFmtId="174" fontId="15" fillId="0" borderId="6" xfId="0" applyFont="true" applyBorder="true" applyAlignment="true" applyProtection="true">
      <alignment horizontal="center" vertical="center" textRotation="0" wrapText="false" indent="0" shrinkToFit="false"/>
      <protection locked="true" hidden="false"/>
    </xf>
    <xf numFmtId="166" fontId="15" fillId="0" borderId="6" xfId="0" applyFont="true" applyBorder="true" applyAlignment="true" applyProtection="true">
      <alignment horizontal="center" vertical="center" textRotation="0" wrapText="false" indent="0" shrinkToFit="false"/>
      <protection locked="true" hidden="false"/>
    </xf>
    <xf numFmtId="175" fontId="15" fillId="0" borderId="6"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true" applyAlignment="true" applyProtection="true">
      <alignment horizontal="general" vertical="center" textRotation="0" wrapText="false" indent="0" shrinkToFit="false"/>
      <protection locked="true" hidden="false"/>
    </xf>
    <xf numFmtId="176" fontId="15" fillId="0" borderId="6" xfId="0" applyFont="true" applyBorder="true" applyAlignment="true" applyProtection="true">
      <alignment horizontal="center" vertical="center" textRotation="0" wrapText="false" indent="0" shrinkToFit="false"/>
      <protection locked="true" hidden="false"/>
    </xf>
    <xf numFmtId="169" fontId="15" fillId="0" borderId="6" xfId="0" applyFont="true" applyBorder="true" applyAlignment="true" applyProtection="true">
      <alignment horizontal="center" vertical="center" textRotation="0" wrapText="false" indent="0" shrinkToFit="false"/>
      <protection locked="true" hidden="false"/>
    </xf>
    <xf numFmtId="164" fontId="13" fillId="0" borderId="0" xfId="0" applyFont="true" applyBorder="true" applyAlignment="true" applyProtection="true">
      <alignment horizontal="general" vertical="center" textRotation="0" wrapText="false" indent="0" shrinkToFit="false"/>
      <protection locked="true" hidden="false"/>
    </xf>
    <xf numFmtId="164" fontId="15"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6" fillId="10" borderId="7" xfId="0" applyFont="true" applyBorder="true" applyAlignment="true" applyProtection="true">
      <alignment horizontal="general" vertical="bottom" textRotation="0" wrapText="false" indent="0" shrinkToFit="false"/>
      <protection locked="true" hidden="false"/>
    </xf>
    <xf numFmtId="164" fontId="6" fillId="0" borderId="8" xfId="0" applyFont="true" applyBorder="true" applyAlignment="true" applyProtection="true">
      <alignment horizontal="center" vertical="bottom" textRotation="0" wrapText="false" indent="0" shrinkToFit="false"/>
      <protection locked="true" hidden="false"/>
    </xf>
    <xf numFmtId="164" fontId="6" fillId="0" borderId="9" xfId="0" applyFont="true" applyBorder="true" applyAlignment="true" applyProtection="true">
      <alignment horizontal="center" vertical="bottom" textRotation="0" wrapText="false" indent="0" shrinkToFit="false"/>
      <protection locked="true" hidden="false"/>
    </xf>
    <xf numFmtId="164" fontId="6" fillId="4" borderId="10" xfId="0" applyFont="true" applyBorder="true" applyAlignment="true" applyProtection="true">
      <alignment horizontal="general" vertical="bottom" textRotation="0" wrapText="false" indent="0" shrinkToFit="false"/>
      <protection locked="true" hidden="false"/>
    </xf>
    <xf numFmtId="164" fontId="6" fillId="0" borderId="11" xfId="0" applyFont="true" applyBorder="true" applyAlignment="true" applyProtection="true">
      <alignment horizontal="center" vertical="bottom" textRotation="0" wrapText="false" indent="0" shrinkToFit="false"/>
      <protection locked="true" hidden="false"/>
    </xf>
    <xf numFmtId="164" fontId="6" fillId="0" borderId="12" xfId="0" applyFont="true" applyBorder="true" applyAlignment="true" applyProtection="true">
      <alignment horizontal="center" vertical="bottom" textRotation="0" wrapText="false" indent="0" shrinkToFit="false"/>
      <protection locked="true" hidden="false"/>
    </xf>
    <xf numFmtId="164" fontId="6" fillId="9" borderId="13" xfId="0" applyFont="true" applyBorder="true" applyAlignment="true" applyProtection="true">
      <alignment horizontal="general" vertical="bottom" textRotation="0" wrapText="false" indent="0" shrinkToFit="false"/>
      <protection locked="true" hidden="false"/>
    </xf>
    <xf numFmtId="164" fontId="6" fillId="0" borderId="14" xfId="0" applyFont="true" applyBorder="true" applyAlignment="true" applyProtection="true">
      <alignment horizontal="center" vertical="bottom" textRotation="0" wrapText="false" indent="0" shrinkToFit="false"/>
      <protection locked="true" hidden="false"/>
    </xf>
    <xf numFmtId="164" fontId="6" fillId="7" borderId="13" xfId="0" applyFont="true" applyBorder="true" applyAlignment="true" applyProtection="true">
      <alignment horizontal="general" vertical="bottom" textRotation="0" wrapText="false" indent="0" shrinkToFit="false"/>
      <protection locked="true" hidden="false"/>
    </xf>
    <xf numFmtId="164" fontId="6" fillId="8" borderId="13" xfId="0" applyFont="true" applyBorder="true" applyAlignment="true" applyProtection="true">
      <alignment horizontal="general" vertical="bottom" textRotation="0" wrapText="false" indent="0" shrinkToFit="false"/>
      <protection locked="true" hidden="false"/>
    </xf>
    <xf numFmtId="164" fontId="6" fillId="11" borderId="15" xfId="0" applyFont="true" applyBorder="true" applyAlignment="true" applyProtection="true">
      <alignment horizontal="general" vertical="bottom" textRotation="0" wrapText="false" indent="0" shrinkToFit="false"/>
      <protection locked="true" hidden="false"/>
    </xf>
    <xf numFmtId="164" fontId="6" fillId="0" borderId="16" xfId="0" applyFont="true" applyBorder="true" applyAlignment="true" applyProtection="true">
      <alignment horizontal="center" vertical="bottom" textRotation="0" wrapText="false" indent="0" shrinkToFit="false"/>
      <protection locked="true" hidden="false"/>
    </xf>
    <xf numFmtId="164" fontId="6" fillId="0" borderId="17" xfId="0" applyFont="true" applyBorder="true" applyAlignment="true" applyProtection="true">
      <alignment horizontal="center" vertical="bottom" textRotation="0" wrapText="false" indent="0" shrinkToFit="false"/>
      <protection locked="true" hidden="false"/>
    </xf>
    <xf numFmtId="164" fontId="6" fillId="12" borderId="10" xfId="0" applyFont="true" applyBorder="true" applyAlignment="true" applyProtection="true">
      <alignment horizontal="general" vertical="bottom" textRotation="0" wrapText="false" indent="0" shrinkToFit="false"/>
      <protection locked="true" hidden="false"/>
    </xf>
    <xf numFmtId="164" fontId="6" fillId="13" borderId="13" xfId="0" applyFont="true" applyBorder="true" applyAlignment="true" applyProtection="true">
      <alignment horizontal="general" vertical="bottom" textRotation="0" wrapText="false" indent="0" shrinkToFit="false"/>
      <protection locked="true" hidden="false"/>
    </xf>
    <xf numFmtId="164" fontId="6" fillId="14" borderId="13" xfId="0" applyFont="true" applyBorder="true" applyAlignment="true" applyProtection="true">
      <alignment horizontal="general" vertical="bottom" textRotation="0" wrapText="false" indent="0" shrinkToFit="false"/>
      <protection locked="true" hidden="false"/>
    </xf>
    <xf numFmtId="164" fontId="6" fillId="15" borderId="13" xfId="0" applyFont="true" applyBorder="true" applyAlignment="true" applyProtection="true">
      <alignment horizontal="general" vertical="bottom" textRotation="0" wrapText="false" indent="0" shrinkToFit="false"/>
      <protection locked="true" hidden="false"/>
    </xf>
    <xf numFmtId="164" fontId="6" fillId="16" borderId="15" xfId="0" applyFont="true" applyBorder="true" applyAlignment="true" applyProtection="true">
      <alignment horizontal="general" vertical="bottom" textRotation="0" wrapText="false" indent="0" shrinkToFit="false"/>
      <protection locked="true" hidden="false"/>
    </xf>
    <xf numFmtId="164" fontId="6" fillId="17" borderId="10" xfId="0" applyFont="true" applyBorder="true" applyAlignment="true" applyProtection="true">
      <alignment horizontal="general" vertical="bottom" textRotation="0" wrapText="false" indent="0" shrinkToFit="false"/>
      <protection locked="true" hidden="false"/>
    </xf>
    <xf numFmtId="164" fontId="6" fillId="18" borderId="13" xfId="0" applyFont="true" applyBorder="true" applyAlignment="true" applyProtection="true">
      <alignment horizontal="general" vertical="bottom" textRotation="0" wrapText="false" indent="0" shrinkToFit="false"/>
      <protection locked="true" hidden="false"/>
    </xf>
    <xf numFmtId="164" fontId="6" fillId="19" borderId="13" xfId="0" applyFont="true" applyBorder="true" applyAlignment="true" applyProtection="true">
      <alignment horizontal="general" vertical="bottom" textRotation="0" wrapText="false" indent="0" shrinkToFit="false"/>
      <protection locked="true" hidden="false"/>
    </xf>
    <xf numFmtId="164" fontId="6" fillId="20" borderId="13" xfId="0" applyFont="true" applyBorder="true" applyAlignment="true" applyProtection="true">
      <alignment horizontal="general" vertical="bottom" textRotation="0" wrapText="false" indent="0" shrinkToFit="false"/>
      <protection locked="true" hidden="false"/>
    </xf>
    <xf numFmtId="164" fontId="6" fillId="21" borderId="15" xfId="0" applyFont="true" applyBorder="true" applyAlignment="true" applyProtection="true">
      <alignment horizontal="general" vertical="bottom" textRotation="0" wrapText="false" indent="0" shrinkToFit="false"/>
      <protection locked="true" hidden="false"/>
    </xf>
    <xf numFmtId="164" fontId="6" fillId="22" borderId="10" xfId="0" applyFont="true" applyBorder="true" applyAlignment="true" applyProtection="true">
      <alignment horizontal="general" vertical="bottom" textRotation="0" wrapText="false" indent="0" shrinkToFit="false"/>
      <protection locked="true" hidden="false"/>
    </xf>
    <xf numFmtId="164" fontId="6" fillId="23" borderId="13" xfId="0" applyFont="true" applyBorder="true" applyAlignment="true" applyProtection="true">
      <alignment horizontal="general" vertical="bottom" textRotation="0" wrapText="false" indent="0" shrinkToFit="false"/>
      <protection locked="true" hidden="false"/>
    </xf>
    <xf numFmtId="164" fontId="6" fillId="24" borderId="13" xfId="0" applyFont="true" applyBorder="true" applyAlignment="true" applyProtection="true">
      <alignment horizontal="general" vertical="bottom" textRotation="0" wrapText="false" indent="0" shrinkToFit="false"/>
      <protection locked="true" hidden="false"/>
    </xf>
    <xf numFmtId="164" fontId="6" fillId="25" borderId="13" xfId="0" applyFont="true" applyBorder="true" applyAlignment="true" applyProtection="true">
      <alignment horizontal="general" vertical="bottom" textRotation="0" wrapText="false" indent="0" shrinkToFit="false"/>
      <protection locked="true" hidden="false"/>
    </xf>
    <xf numFmtId="164" fontId="6" fillId="26" borderId="15" xfId="0" applyFont="true" applyBorder="true" applyAlignment="true" applyProtection="true">
      <alignment horizontal="general" vertical="bottom" textRotation="0" wrapText="false" indent="0" shrinkToFit="false"/>
      <protection locked="true" hidden="false"/>
    </xf>
    <xf numFmtId="164" fontId="6" fillId="27" borderId="10" xfId="0" applyFont="true" applyBorder="true" applyAlignment="true" applyProtection="true">
      <alignment horizontal="general" vertical="bottom" textRotation="0" wrapText="false" indent="0" shrinkToFit="false"/>
      <protection locked="true" hidden="false"/>
    </xf>
    <xf numFmtId="164" fontId="6" fillId="28" borderId="13" xfId="0" applyFont="true" applyBorder="true" applyAlignment="true" applyProtection="true">
      <alignment horizontal="general" vertical="bottom" textRotation="0" wrapText="false" indent="0" shrinkToFit="false"/>
      <protection locked="true" hidden="false"/>
    </xf>
    <xf numFmtId="164" fontId="6" fillId="29" borderId="13" xfId="0" applyFont="true" applyBorder="true" applyAlignment="true" applyProtection="true">
      <alignment horizontal="general" vertical="bottom" textRotation="0" wrapText="false" indent="0" shrinkToFit="false"/>
      <protection locked="true" hidden="false"/>
    </xf>
    <xf numFmtId="164" fontId="6" fillId="30" borderId="13" xfId="0" applyFont="true" applyBorder="true" applyAlignment="true" applyProtection="true">
      <alignment horizontal="general" vertical="bottom" textRotation="0" wrapText="false" indent="0" shrinkToFit="false"/>
      <protection locked="true" hidden="false"/>
    </xf>
    <xf numFmtId="164" fontId="6" fillId="31" borderId="15"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header_style" xfId="20"/>
    <cellStyle name="value_style" xfId="21"/>
  </cellStyles>
  <dxfs count="3">
    <dxf>
      <font>
        <color rgb="FF8C8C8C"/>
      </font>
      <fill>
        <patternFill>
          <bgColor rgb="FFD6D6D6"/>
        </patternFill>
      </fill>
    </dxf>
    <dxf>
      <font>
        <b val="1"/>
        <color rgb="FF006100"/>
      </font>
      <fill>
        <patternFill>
          <bgColor rgb="FFC6EFCE"/>
        </patternFill>
      </fill>
    </dxf>
    <dxf>
      <font>
        <b val="1"/>
        <color rgb="FF9C0006"/>
      </font>
      <fill>
        <patternFill>
          <bgColor rgb="FFFFC7CE"/>
        </patternFill>
      </fill>
    </dxf>
  </dxfs>
  <colors>
    <indexedColors>
      <rgbColor rgb="FF000000"/>
      <rgbColor rgb="FFFFFFFF"/>
      <rgbColor rgb="FFFF0000"/>
      <rgbColor rgb="FF00FF00"/>
      <rgbColor rgb="FF0000FF"/>
      <rgbColor rgb="FFF6EFE8"/>
      <rgbColor rgb="FFFF00FF"/>
      <rgbColor rgb="FF00FFFF"/>
      <rgbColor rgb="FF9C0006"/>
      <rgbColor rgb="FF006100"/>
      <rgbColor rgb="FF0F000C"/>
      <rgbColor rgb="FF778A35"/>
      <rgbColor rgb="FF800080"/>
      <rgbColor rgb="FF008080"/>
      <rgbColor rgb="FFB8B39A"/>
      <rgbColor rgb="FF5C8F8D"/>
      <rgbColor rgb="FFA86D9D"/>
      <rgbColor rgb="FF68285B"/>
      <rgbColor rgb="FFFBF9ED"/>
      <rgbColor rgb="FFE3F4F4"/>
      <rgbColor rgb="FF4D0E41"/>
      <rgbColor rgb="FFFF8080"/>
      <rgbColor rgb="FF0066CC"/>
      <rgbColor rgb="FFD6D6D6"/>
      <rgbColor rgb="FF000D0C"/>
      <rgbColor rgb="FFFF00FF"/>
      <rgbColor rgb="FFF5E5F2"/>
      <rgbColor rgb="FF00FFFF"/>
      <rgbColor rgb="FF800080"/>
      <rgbColor rgb="FF150900"/>
      <rgbColor rgb="FF008080"/>
      <rgbColor rgb="FF0000FF"/>
      <rgbColor rgb="FF00CCFF"/>
      <rgbColor rgb="FFF3F6E8"/>
      <rgbColor rgb="FFC6EFCE"/>
      <rgbColor rgb="FFFFEE98"/>
      <rgbColor rgb="FFDDDDDD"/>
      <rgbColor rgb="FFFFC7CE"/>
      <rgbColor rgb="FFE4E4DC"/>
      <rgbColor rgb="FFEBBD98"/>
      <rgbColor rgb="FF3366FF"/>
      <rgbColor rgb="FF33CCCC"/>
      <rgbColor rgb="FFCFE091"/>
      <rgbColor rgb="FFD9C148"/>
      <rgbColor rgb="FFB89E1D"/>
      <rgbColor rgb="FFFF6600"/>
      <rgbColor rgb="FF5E6157"/>
      <rgbColor rgb="FF8C8C8C"/>
      <rgbColor rgb="FF0C413F"/>
      <rgbColor rgb="FF546713"/>
      <rgbColor rgb="FF181C0B"/>
      <rgbColor rgb="FF2E2600"/>
      <rgbColor rgb="FF6C3B13"/>
      <rgbColor rgb="FF905F37"/>
      <rgbColor rgb="FF225856"/>
      <rgbColor rgb="FF31352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19080</xdr:colOff>
      <xdr:row>32</xdr:row>
      <xdr:rowOff>114120</xdr:rowOff>
    </xdr:from>
    <xdr:to>
      <xdr:col>9</xdr:col>
      <xdr:colOff>245880</xdr:colOff>
      <xdr:row>39</xdr:row>
      <xdr:rowOff>65880</xdr:rowOff>
    </xdr:to>
    <xdr:sp>
      <xdr:nvSpPr>
        <xdr:cNvPr id="0" name="Rechteck 4"/>
        <xdr:cNvSpPr/>
      </xdr:nvSpPr>
      <xdr:spPr>
        <a:xfrm>
          <a:off x="633240" y="6676920"/>
          <a:ext cx="7035120" cy="1285200"/>
        </a:xfrm>
        <a:prstGeom prst="rect">
          <a:avLst/>
        </a:prstGeom>
        <a:noFill/>
        <a:ln w="12700">
          <a:solidFill>
            <a:srgbClr val="778a35"/>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defTabSz="914400">
            <a:lnSpc>
              <a:spcPct val="100000"/>
            </a:lnSpc>
            <a:tabLst>
              <a:tab algn="l" pos="0"/>
            </a:tabLst>
          </a:pPr>
          <a:r>
            <a:rPr b="0" i="1" lang="en-US" sz="1100" spc="-1" strike="noStrike">
              <a:solidFill>
                <a:srgbClr val="000000"/>
              </a:solidFill>
              <a:latin typeface="Calibri"/>
            </a:rPr>
            <a:t>Disclaimer: The contents of this tool have been prepared with the greatest care. Nevertheless, errors cannot be completely ruled out. No guarantee can be given for the correctness, completeness, up-to-dateness or quality of the information provided or for any links to further content. Liability claims against persons who have provided content for this tool are therefore excluded.</a:t>
          </a:r>
          <a:endParaRPr b="0" lang="en-US" sz="1100" spc="-1" strike="noStrike">
            <a:latin typeface="Times New Roman"/>
          </a:endParaRPr>
        </a:p>
        <a:p>
          <a:pPr defTabSz="914400">
            <a:lnSpc>
              <a:spcPct val="100000"/>
            </a:lnSpc>
            <a:tabLst>
              <a:tab algn="l" pos="0"/>
            </a:tabLst>
          </a:pPr>
          <a:r>
            <a:rPr b="0" i="1" lang="en-US" sz="1100" spc="-1" strike="noStrike">
              <a:solidFill>
                <a:srgbClr val="000000"/>
              </a:solidFill>
              <a:latin typeface="Calibri"/>
            </a:rPr>
            <a:t>We expressly reserve the right to change, supplement or delete the tool without separate notice, or to discontinue its publication temporarily or permanently, and therefore accept no guarantee or liability for the continued availability of the information provided.</a:t>
          </a:r>
          <a:endParaRPr b="0" lang="en-US" sz="1100" spc="-1" strike="noStrike">
            <a:latin typeface="Times New Roman"/>
          </a:endParaRPr>
        </a:p>
      </xdr:txBody>
    </xdr:sp>
    <xdr:clientData/>
  </xdr:twoCellAnchor>
  <xdr:twoCellAnchor editAs="oneCell">
    <xdr:from>
      <xdr:col>0</xdr:col>
      <xdr:colOff>476280</xdr:colOff>
      <xdr:row>6</xdr:row>
      <xdr:rowOff>123840</xdr:rowOff>
    </xdr:from>
    <xdr:to>
      <xdr:col>4</xdr:col>
      <xdr:colOff>456480</xdr:colOff>
      <xdr:row>9</xdr:row>
      <xdr:rowOff>176400</xdr:rowOff>
    </xdr:to>
    <xdr:pic>
      <xdr:nvPicPr>
        <xdr:cNvPr id="1" name="Grafik 5" descr=""/>
        <xdr:cNvPicPr/>
      </xdr:nvPicPr>
      <xdr:blipFill>
        <a:blip r:embed="rId1"/>
        <a:stretch/>
      </xdr:blipFill>
      <xdr:spPr>
        <a:xfrm>
          <a:off x="476280" y="1733400"/>
          <a:ext cx="3062520" cy="6242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service@erneuerbaresgas.at"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eur-lex.europa.eu/legal-content/EN/TXT/?uri=CELEX:02018L2001-20240716" TargetMode="Externa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1"/>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E25" activeCellId="0" sqref="E25"/>
    </sheetView>
  </sheetViews>
  <sheetFormatPr defaultColWidth="11.43359375" defaultRowHeight="15" zeroHeight="false" outlineLevelRow="0" outlineLevelCol="0"/>
  <cols>
    <col collapsed="false" customWidth="true" hidden="false" outlineLevel="0" max="1" min="1" style="1" width="8.71"/>
    <col collapsed="false" customWidth="true" hidden="false" outlineLevel="0" max="2" min="2" style="1" width="12.15"/>
    <col collapsed="false" customWidth="false" hidden="false" outlineLevel="0" max="8" min="3" style="1" width="11.43"/>
    <col collapsed="false" customWidth="true" hidden="false" outlineLevel="0" max="9" min="9" style="1" width="15.85"/>
    <col collapsed="false" customWidth="false" hidden="false" outlineLevel="0" max="13" min="10" style="1" width="11.43"/>
    <col collapsed="false" customWidth="true" hidden="false" outlineLevel="0" max="14" min="14" style="1" width="11.57"/>
    <col collapsed="false" customWidth="false" hidden="false" outlineLevel="0" max="16384" min="15" style="1" width="11.43"/>
  </cols>
  <sheetData>
    <row r="1" customFormat="false" ht="30" hidden="false" customHeight="true" outlineLevel="0" collapsed="false">
      <c r="A1" s="2"/>
      <c r="B1" s="2"/>
      <c r="C1" s="2"/>
      <c r="D1" s="2"/>
      <c r="E1" s="2"/>
      <c r="F1" s="2"/>
      <c r="G1" s="2"/>
      <c r="H1" s="2"/>
      <c r="I1" s="2"/>
      <c r="J1" s="2"/>
      <c r="K1" s="2"/>
      <c r="L1" s="2"/>
      <c r="M1" s="2"/>
    </row>
    <row r="2" customFormat="false" ht="36" hidden="false" customHeight="true" outlineLevel="0" collapsed="false">
      <c r="A2" s="2"/>
      <c r="B2" s="3" t="s">
        <v>0</v>
      </c>
      <c r="C2" s="4"/>
      <c r="D2" s="4"/>
      <c r="E2" s="4"/>
      <c r="F2" s="4"/>
      <c r="G2" s="4"/>
      <c r="H2" s="4"/>
      <c r="I2" s="4"/>
      <c r="J2" s="3"/>
      <c r="K2" s="4"/>
      <c r="L2" s="2"/>
    </row>
    <row r="3" customFormat="false" ht="15.75" hidden="false" customHeight="true" outlineLevel="0" collapsed="false">
      <c r="A3" s="2"/>
      <c r="B3" s="5"/>
      <c r="C3" s="2"/>
      <c r="D3" s="2"/>
      <c r="E3" s="2"/>
      <c r="F3" s="2"/>
      <c r="G3" s="2"/>
      <c r="H3" s="2"/>
      <c r="I3" s="2"/>
      <c r="J3" s="2"/>
      <c r="K3" s="2"/>
      <c r="L3" s="6"/>
      <c r="M3" s="7"/>
    </row>
    <row r="4" customFormat="false" ht="15" hidden="false" customHeight="true" outlineLevel="0" collapsed="false">
      <c r="A4" s="2"/>
      <c r="B4" s="8" t="s">
        <v>1</v>
      </c>
      <c r="C4" s="8"/>
      <c r="D4" s="8"/>
      <c r="E4" s="8"/>
      <c r="F4" s="8"/>
      <c r="G4" s="8"/>
      <c r="H4" s="8"/>
      <c r="I4" s="8"/>
      <c r="J4" s="2"/>
      <c r="K4" s="2"/>
      <c r="L4" s="6"/>
      <c r="M4" s="6"/>
    </row>
    <row r="5" customFormat="false" ht="15" hidden="false" customHeight="true" outlineLevel="0" collapsed="false">
      <c r="A5" s="2"/>
      <c r="B5" s="9" t="s">
        <v>2</v>
      </c>
      <c r="C5" s="9"/>
      <c r="D5" s="9"/>
      <c r="E5" s="9"/>
      <c r="F5" s="9"/>
      <c r="G5" s="9"/>
      <c r="H5" s="9"/>
      <c r="I5" s="9"/>
      <c r="J5" s="2"/>
      <c r="L5" s="2"/>
      <c r="M5" s="2"/>
    </row>
    <row r="6" customFormat="false" ht="15" hidden="false" customHeight="false" outlineLevel="0" collapsed="false">
      <c r="A6" s="2"/>
      <c r="B6" s="9"/>
      <c r="C6" s="9"/>
      <c r="D6" s="9"/>
      <c r="E6" s="9"/>
      <c r="F6" s="9"/>
      <c r="G6" s="9"/>
      <c r="H6" s="9"/>
      <c r="I6" s="9"/>
      <c r="J6" s="2"/>
      <c r="K6" s="2"/>
      <c r="L6" s="2"/>
    </row>
    <row r="7" customFormat="false" ht="15" hidden="false" customHeight="false" outlineLevel="0" collapsed="false">
      <c r="A7" s="2"/>
      <c r="B7" s="6"/>
      <c r="C7" s="2"/>
      <c r="D7" s="2"/>
      <c r="E7" s="2"/>
      <c r="F7" s="2"/>
      <c r="G7" s="2"/>
      <c r="H7" s="2"/>
      <c r="I7" s="2"/>
      <c r="J7" s="2"/>
      <c r="K7" s="2"/>
      <c r="L7" s="2"/>
    </row>
    <row r="8" customFormat="false" ht="15" hidden="false" customHeight="false" outlineLevel="0" collapsed="false">
      <c r="A8" s="2"/>
      <c r="B8" s="6"/>
      <c r="C8" s="2"/>
      <c r="D8" s="2"/>
      <c r="E8" s="2"/>
      <c r="F8" s="2"/>
      <c r="G8" s="2"/>
      <c r="H8" s="2"/>
      <c r="I8" s="2"/>
      <c r="L8" s="2"/>
    </row>
    <row r="9" customFormat="false" ht="15" hidden="false" customHeight="false" outlineLevel="0" collapsed="false">
      <c r="A9" s="2"/>
      <c r="B9" s="6"/>
      <c r="C9" s="2"/>
      <c r="D9" s="2"/>
      <c r="E9" s="2"/>
      <c r="F9" s="2"/>
      <c r="G9" s="2"/>
      <c r="H9" s="2"/>
      <c r="I9" s="2"/>
      <c r="L9" s="2"/>
    </row>
    <row r="10" customFormat="false" ht="15" hidden="false" customHeight="false" outlineLevel="0" collapsed="false">
      <c r="A10" s="2"/>
      <c r="B10" s="6"/>
      <c r="C10" s="2"/>
      <c r="D10" s="2"/>
      <c r="E10" s="2"/>
      <c r="F10" s="2"/>
      <c r="G10" s="2"/>
      <c r="H10" s="2"/>
      <c r="I10" s="2"/>
    </row>
    <row r="11" customFormat="false" ht="15" hidden="false" customHeight="false" outlineLevel="0" collapsed="false">
      <c r="A11" s="2"/>
      <c r="B11" s="6"/>
      <c r="C11" s="2"/>
      <c r="D11" s="2"/>
      <c r="E11" s="2"/>
      <c r="F11" s="2"/>
      <c r="G11" s="2"/>
      <c r="H11" s="2"/>
      <c r="I11" s="2"/>
      <c r="J11" s="2"/>
      <c r="K11" s="2"/>
      <c r="L11" s="2"/>
    </row>
    <row r="12" customFormat="false" ht="15" hidden="false" customHeight="false" outlineLevel="0" collapsed="false">
      <c r="A12" s="2"/>
      <c r="J12" s="2"/>
      <c r="K12" s="10"/>
      <c r="L12" s="2"/>
    </row>
    <row r="13" customFormat="false" ht="15" hidden="false" customHeight="true" outlineLevel="0" collapsed="false">
      <c r="A13" s="2"/>
      <c r="B13" s="11" t="s">
        <v>3</v>
      </c>
      <c r="C13" s="11"/>
      <c r="D13" s="11"/>
      <c r="E13" s="11"/>
      <c r="F13" s="11"/>
      <c r="G13" s="11"/>
      <c r="H13" s="11"/>
      <c r="I13" s="11"/>
      <c r="J13" s="2"/>
      <c r="K13" s="2"/>
      <c r="L13" s="2"/>
    </row>
    <row r="14" customFormat="false" ht="15" hidden="false" customHeight="true" outlineLevel="0" collapsed="false">
      <c r="A14" s="2"/>
      <c r="B14" s="9" t="s">
        <v>4</v>
      </c>
      <c r="C14" s="9"/>
      <c r="D14" s="9"/>
      <c r="E14" s="9"/>
      <c r="F14" s="9"/>
      <c r="G14" s="9"/>
      <c r="H14" s="9"/>
      <c r="I14" s="9"/>
      <c r="J14" s="2"/>
      <c r="K14" s="2"/>
      <c r="L14" s="2"/>
    </row>
    <row r="15" customFormat="false" ht="15" hidden="false" customHeight="false" outlineLevel="0" collapsed="false">
      <c r="A15" s="2"/>
      <c r="B15" s="9"/>
      <c r="C15" s="9"/>
      <c r="D15" s="9"/>
      <c r="E15" s="9"/>
      <c r="F15" s="9"/>
      <c r="G15" s="9"/>
      <c r="H15" s="9"/>
      <c r="I15" s="9"/>
      <c r="J15" s="2"/>
      <c r="K15" s="2"/>
      <c r="L15" s="2"/>
    </row>
    <row r="16" customFormat="false" ht="15" hidden="false" customHeight="false" outlineLevel="0" collapsed="false">
      <c r="A16" s="2"/>
      <c r="B16" s="9"/>
      <c r="C16" s="9"/>
      <c r="D16" s="9"/>
      <c r="E16" s="9"/>
      <c r="F16" s="9"/>
      <c r="G16" s="9"/>
      <c r="H16" s="9"/>
      <c r="I16" s="9"/>
      <c r="J16" s="2"/>
      <c r="K16" s="2"/>
      <c r="L16" s="2"/>
    </row>
    <row r="17" customFormat="false" ht="15" hidden="false" customHeight="false" outlineLevel="0" collapsed="false">
      <c r="A17" s="2"/>
      <c r="B17" s="9"/>
      <c r="C17" s="9"/>
      <c r="D17" s="9"/>
      <c r="E17" s="9"/>
      <c r="F17" s="9"/>
      <c r="G17" s="9"/>
      <c r="H17" s="9"/>
      <c r="I17" s="9"/>
      <c r="J17" s="2"/>
      <c r="K17" s="2"/>
      <c r="L17" s="2"/>
    </row>
    <row r="18" customFormat="false" ht="15" hidden="false" customHeight="false" outlineLevel="0" collapsed="false">
      <c r="A18" s="2"/>
      <c r="B18" s="9"/>
      <c r="C18" s="9"/>
      <c r="D18" s="9"/>
      <c r="E18" s="9"/>
      <c r="F18" s="9"/>
      <c r="G18" s="9"/>
      <c r="H18" s="9"/>
      <c r="I18" s="9"/>
      <c r="J18" s="2"/>
      <c r="K18" s="2"/>
      <c r="L18" s="2"/>
    </row>
    <row r="19" customFormat="false" ht="15" hidden="false" customHeight="true" outlineLevel="0" collapsed="false">
      <c r="A19" s="2"/>
      <c r="B19" s="11" t="s">
        <v>5</v>
      </c>
      <c r="C19" s="11"/>
      <c r="D19" s="11"/>
      <c r="E19" s="11"/>
      <c r="F19" s="11"/>
      <c r="G19" s="11"/>
      <c r="H19" s="11"/>
      <c r="I19" s="11"/>
      <c r="J19" s="2"/>
      <c r="K19" s="2"/>
      <c r="L19" s="2"/>
    </row>
    <row r="20" customFormat="false" ht="15" hidden="false" customHeight="true" outlineLevel="0" collapsed="false">
      <c r="A20" s="2"/>
      <c r="B20" s="9" t="s">
        <v>6</v>
      </c>
      <c r="C20" s="9"/>
      <c r="D20" s="9"/>
      <c r="E20" s="9"/>
      <c r="F20" s="9"/>
      <c r="G20" s="9"/>
      <c r="H20" s="9"/>
      <c r="I20" s="9"/>
      <c r="J20" s="2"/>
      <c r="K20" s="2"/>
      <c r="L20" s="2"/>
    </row>
    <row r="21" customFormat="false" ht="15" hidden="false" customHeight="false" outlineLevel="0" collapsed="false">
      <c r="A21" s="2"/>
      <c r="B21" s="9"/>
      <c r="C21" s="9"/>
      <c r="D21" s="9"/>
      <c r="E21" s="9"/>
      <c r="F21" s="9"/>
      <c r="G21" s="9"/>
      <c r="H21" s="9"/>
      <c r="I21" s="9"/>
      <c r="K21" s="2"/>
      <c r="L21" s="2"/>
      <c r="M21" s="2"/>
    </row>
    <row r="22" customFormat="false" ht="15" hidden="false" customHeight="false" outlineLevel="0" collapsed="false">
      <c r="B22" s="9"/>
      <c r="C22" s="9"/>
      <c r="D22" s="9"/>
      <c r="E22" s="9"/>
      <c r="F22" s="9"/>
      <c r="G22" s="9"/>
      <c r="H22" s="9"/>
      <c r="I22" s="9"/>
    </row>
    <row r="23" customFormat="false" ht="15" hidden="false" customHeight="false" outlineLevel="0" collapsed="false">
      <c r="B23" s="9"/>
      <c r="C23" s="9"/>
      <c r="D23" s="9"/>
      <c r="E23" s="9"/>
      <c r="F23" s="9"/>
      <c r="G23" s="9"/>
      <c r="H23" s="9"/>
      <c r="I23" s="9"/>
    </row>
    <row r="24" customFormat="false" ht="15" hidden="false" customHeight="false" outlineLevel="0" collapsed="false">
      <c r="B24" s="9"/>
      <c r="C24" s="9"/>
      <c r="D24" s="9"/>
      <c r="E24" s="9"/>
      <c r="F24" s="9"/>
      <c r="G24" s="9"/>
      <c r="H24" s="9"/>
      <c r="I24" s="9"/>
    </row>
    <row r="27" customFormat="false" ht="15" hidden="false" customHeight="false" outlineLevel="0" collapsed="false">
      <c r="B27" s="5" t="s">
        <v>7</v>
      </c>
      <c r="C27" s="2"/>
      <c r="D27" s="2"/>
      <c r="E27" s="2"/>
      <c r="F27" s="2"/>
      <c r="G27" s="2"/>
      <c r="H27" s="2"/>
      <c r="I27" s="2"/>
      <c r="J27" s="2"/>
    </row>
    <row r="28" customFormat="false" ht="15" hidden="false" customHeight="false" outlineLevel="0" collapsed="false">
      <c r="B28" s="2" t="s">
        <v>8</v>
      </c>
    </row>
    <row r="29" customFormat="false" ht="15" hidden="false" customHeight="false" outlineLevel="0" collapsed="false">
      <c r="B29" s="12" t="s">
        <v>9</v>
      </c>
      <c r="F29" s="12"/>
    </row>
    <row r="30" customFormat="false" ht="15" hidden="false" customHeight="false" outlineLevel="0" collapsed="false">
      <c r="B30" s="13" t="s">
        <v>10</v>
      </c>
    </row>
    <row r="31" customFormat="false" ht="15" hidden="false" customHeight="false" outlineLevel="0" collapsed="false">
      <c r="B31" s="12" t="s">
        <v>11</v>
      </c>
      <c r="F31" s="10"/>
    </row>
  </sheetData>
  <sheetProtection sheet="true" objects="true" scenarios="true"/>
  <mergeCells count="6">
    <mergeCell ref="B4:I4"/>
    <mergeCell ref="B5:I6"/>
    <mergeCell ref="B13:I13"/>
    <mergeCell ref="B14:I18"/>
    <mergeCell ref="B19:I19"/>
    <mergeCell ref="B20:I24"/>
  </mergeCells>
  <hyperlinks>
    <hyperlink ref="B31" r:id="rId1" display="service@erneuerbaresgas.at"/>
  </hyperlink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7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14" width="3"/>
    <col collapsed="false" customWidth="true" hidden="false" outlineLevel="0" max="4" min="4" style="14" width="66"/>
    <col collapsed="false" customWidth="true" hidden="false" outlineLevel="0" max="5" min="5" style="14" width="26"/>
    <col collapsed="false" customWidth="true" hidden="false" outlineLevel="0" max="8" min="6" style="14" width="22"/>
    <col collapsed="false" customWidth="true" hidden="false" outlineLevel="0" max="9" min="9" style="14" width="24"/>
    <col collapsed="false" customWidth="true" hidden="false" outlineLevel="0" max="10" min="10" style="14" width="3"/>
  </cols>
  <sheetData>
    <row r="2" customFormat="false" ht="36" hidden="false" customHeight="true" outlineLevel="0" collapsed="false">
      <c r="B2" s="15" t="s">
        <v>0</v>
      </c>
      <c r="C2" s="16"/>
      <c r="D2" s="16"/>
      <c r="E2" s="16"/>
      <c r="F2" s="16"/>
      <c r="G2" s="16"/>
      <c r="H2" s="16"/>
      <c r="I2" s="16"/>
      <c r="J2" s="16"/>
    </row>
    <row r="3" customFormat="false" ht="15" hidden="false" customHeight="false" outlineLevel="0" collapsed="false">
      <c r="D3" s="17" t="s">
        <v>12</v>
      </c>
    </row>
    <row r="4" customFormat="false" ht="15" hidden="false" customHeight="false" outlineLevel="0" collapsed="false">
      <c r="C4" s="18"/>
      <c r="D4" s="18"/>
      <c r="E4" s="18"/>
      <c r="F4" s="18"/>
      <c r="G4" s="18"/>
      <c r="H4" s="18"/>
      <c r="I4" s="18"/>
      <c r="J4" s="18"/>
    </row>
    <row r="5" customFormat="false" ht="25.5" hidden="false" customHeight="true" outlineLevel="0" collapsed="false">
      <c r="C5" s="18"/>
      <c r="D5" s="19" t="s">
        <v>13</v>
      </c>
      <c r="E5" s="20" t="s">
        <v>14</v>
      </c>
      <c r="F5" s="21" t="s">
        <v>15</v>
      </c>
      <c r="G5" s="22" t="s">
        <v>16</v>
      </c>
      <c r="H5" s="23" t="s">
        <v>17</v>
      </c>
      <c r="I5" s="23"/>
      <c r="J5" s="18"/>
    </row>
    <row r="6" customFormat="false" ht="15" hidden="false" customHeight="false" outlineLevel="0" collapsed="false">
      <c r="C6" s="18"/>
      <c r="D6" s="18"/>
      <c r="E6" s="18"/>
      <c r="F6" s="18"/>
      <c r="G6" s="18"/>
      <c r="H6" s="18"/>
      <c r="I6" s="18"/>
      <c r="J6" s="18"/>
    </row>
    <row r="7" customFormat="false" ht="16.15" hidden="false" customHeight="false" outlineLevel="0" collapsed="false">
      <c r="C7" s="18"/>
      <c r="D7" s="24" t="s">
        <v>18</v>
      </c>
      <c r="E7" s="25"/>
      <c r="F7" s="25"/>
      <c r="G7" s="25"/>
      <c r="H7" s="25"/>
      <c r="I7" s="25"/>
      <c r="J7" s="18"/>
    </row>
    <row r="8" customFormat="false" ht="45" hidden="false" customHeight="true" outlineLevel="0" collapsed="false">
      <c r="C8" s="18"/>
      <c r="D8" s="26" t="s">
        <v>19</v>
      </c>
      <c r="E8" s="27" t="s">
        <v>20</v>
      </c>
      <c r="F8" s="27" t="s">
        <v>21</v>
      </c>
      <c r="G8" s="27" t="s">
        <v>22</v>
      </c>
      <c r="H8" s="27" t="s">
        <v>23</v>
      </c>
      <c r="I8" s="27" t="s">
        <v>24</v>
      </c>
      <c r="J8" s="18"/>
    </row>
    <row r="9" customFormat="false" ht="15" hidden="false" customHeight="false" outlineLevel="0" collapsed="false">
      <c r="C9" s="18"/>
      <c r="D9" s="28" t="s">
        <v>25</v>
      </c>
      <c r="E9" s="29" t="n">
        <v>8000</v>
      </c>
      <c r="F9" s="30" t="n">
        <v>90</v>
      </c>
      <c r="G9" s="31" t="n">
        <f aca="false">REDIII!D24*100</f>
        <v>90</v>
      </c>
      <c r="H9" s="32" t="n">
        <f aca="false">IF(Calculation!$C$12&gt;0,Calculation!K6,"–")</f>
        <v>0.324675324675325</v>
      </c>
      <c r="I9" s="31" t="n">
        <f aca="false">IFERROR(Calculation!D6,"–")</f>
        <v>-100</v>
      </c>
      <c r="J9" s="18"/>
    </row>
    <row r="10" customFormat="false" ht="15" hidden="false" customHeight="false" outlineLevel="0" collapsed="false">
      <c r="C10" s="18"/>
      <c r="D10" s="28" t="s">
        <v>26</v>
      </c>
      <c r="E10" s="29" t="n">
        <v>2000</v>
      </c>
      <c r="F10" s="30" t="n">
        <v>65</v>
      </c>
      <c r="G10" s="31" t="n">
        <f aca="false">REDIII!D25*100</f>
        <v>65</v>
      </c>
      <c r="H10" s="32" t="n">
        <f aca="false">IF(Calculation!$C$12&gt;0,Calculation!K7,"–")</f>
        <v>0.675324675324675</v>
      </c>
      <c r="I10" s="31" t="n">
        <f aca="false">IFERROR(Calculation!D7,"–")</f>
        <v>30</v>
      </c>
      <c r="J10" s="18"/>
    </row>
    <row r="11" customFormat="false" ht="15" hidden="false" customHeight="false" outlineLevel="0" collapsed="false">
      <c r="C11" s="18"/>
      <c r="D11" s="28" t="s">
        <v>27</v>
      </c>
      <c r="E11" s="29" t="n">
        <v>0</v>
      </c>
      <c r="F11" s="30" t="n">
        <v>76</v>
      </c>
      <c r="G11" s="31" t="n">
        <f aca="false">REDIII!D26*100</f>
        <v>76</v>
      </c>
      <c r="H11" s="32" t="n">
        <f aca="false">IF(Calculation!$C$12&gt;0,Calculation!K8,"–")</f>
        <v>0</v>
      </c>
      <c r="I11" s="31" t="n">
        <f aca="false">IFERROR(Calculation!D8,"–")</f>
        <v>14</v>
      </c>
      <c r="J11" s="18"/>
    </row>
    <row r="12" customFormat="false" ht="15" hidden="false" customHeight="false" outlineLevel="0" collapsed="false">
      <c r="C12" s="18"/>
      <c r="D12" s="33" t="s">
        <v>28</v>
      </c>
      <c r="E12" s="34" t="n">
        <f aca="false">SUM(E9:E11)</f>
        <v>10000</v>
      </c>
      <c r="F12" s="18"/>
      <c r="G12" s="18"/>
      <c r="H12" s="35" t="n">
        <f aca="false">IF(Calculation!$C$12&gt;0,SUM(H9:H11),"–")</f>
        <v>1</v>
      </c>
      <c r="I12" s="18"/>
      <c r="J12" s="18"/>
    </row>
    <row r="13" customFormat="false" ht="18" hidden="false" customHeight="true" outlineLevel="0" collapsed="false">
      <c r="C13" s="18"/>
      <c r="D13" s="36" t="s">
        <v>29</v>
      </c>
      <c r="E13" s="36"/>
      <c r="F13" s="36"/>
      <c r="G13" s="36"/>
      <c r="H13" s="36"/>
      <c r="I13" s="36"/>
      <c r="J13" s="18"/>
    </row>
    <row r="14" customFormat="false" ht="18" hidden="false" customHeight="true" outlineLevel="0" collapsed="false">
      <c r="C14" s="18"/>
      <c r="D14" s="36"/>
      <c r="E14" s="36"/>
      <c r="F14" s="36"/>
      <c r="G14" s="36"/>
      <c r="H14" s="36"/>
      <c r="I14" s="36"/>
      <c r="J14" s="18"/>
    </row>
    <row r="15" customFormat="false" ht="18" hidden="false" customHeight="true" outlineLevel="0" collapsed="false">
      <c r="C15" s="18"/>
      <c r="D15" s="36"/>
      <c r="E15" s="36"/>
      <c r="F15" s="36"/>
      <c r="G15" s="36"/>
      <c r="H15" s="36"/>
      <c r="I15" s="36"/>
      <c r="J15" s="18"/>
    </row>
    <row r="16" customFormat="false" ht="15" hidden="false" customHeight="false" outlineLevel="0" collapsed="false">
      <c r="C16" s="18"/>
      <c r="D16" s="18"/>
      <c r="E16" s="18"/>
      <c r="F16" s="18"/>
      <c r="G16" s="18"/>
      <c r="H16" s="18"/>
      <c r="I16" s="18"/>
      <c r="J16" s="18"/>
    </row>
    <row r="17" customFormat="false" ht="16.15" hidden="false" customHeight="false" outlineLevel="0" collapsed="false">
      <c r="C17" s="18"/>
      <c r="D17" s="24" t="s">
        <v>30</v>
      </c>
      <c r="E17" s="25"/>
      <c r="F17" s="25"/>
      <c r="G17" s="25"/>
      <c r="H17" s="25"/>
      <c r="I17" s="25"/>
      <c r="J17" s="18"/>
    </row>
    <row r="18" customFormat="false" ht="15" hidden="false" customHeight="true" outlineLevel="0" collapsed="false">
      <c r="C18" s="18"/>
      <c r="D18" s="28" t="s">
        <v>31</v>
      </c>
      <c r="E18" s="37" t="s">
        <v>32</v>
      </c>
      <c r="F18" s="36" t="s">
        <v>33</v>
      </c>
      <c r="G18" s="36"/>
      <c r="H18" s="36"/>
      <c r="I18" s="36"/>
      <c r="J18" s="18"/>
    </row>
    <row r="19" customFormat="false" ht="30" hidden="false" customHeight="true" outlineLevel="0" collapsed="false">
      <c r="C19" s="18"/>
      <c r="D19" s="28" t="s">
        <v>34</v>
      </c>
      <c r="E19" s="37" t="s">
        <v>35</v>
      </c>
      <c r="F19" s="36"/>
      <c r="G19" s="36"/>
      <c r="H19" s="36"/>
      <c r="I19" s="36"/>
      <c r="J19" s="18"/>
    </row>
    <row r="20" customFormat="false" ht="15" hidden="false" customHeight="false" outlineLevel="0" collapsed="false">
      <c r="C20" s="18"/>
      <c r="D20" s="28" t="s">
        <v>36</v>
      </c>
      <c r="E20" s="37" t="s">
        <v>37</v>
      </c>
      <c r="F20" s="36"/>
      <c r="G20" s="36"/>
      <c r="H20" s="36"/>
      <c r="I20" s="36"/>
      <c r="J20" s="18"/>
    </row>
    <row r="21" customFormat="false" ht="30" hidden="false" customHeight="true" outlineLevel="0" collapsed="false">
      <c r="C21" s="18"/>
      <c r="D21" s="28" t="s">
        <v>38</v>
      </c>
      <c r="E21" s="37" t="s">
        <v>35</v>
      </c>
      <c r="F21" s="36"/>
      <c r="G21" s="36"/>
      <c r="H21" s="36"/>
      <c r="I21" s="36"/>
      <c r="J21" s="18"/>
    </row>
    <row r="22" customFormat="false" ht="15" hidden="false" customHeight="false" outlineLevel="0" collapsed="false">
      <c r="C22" s="18"/>
      <c r="D22" s="18"/>
      <c r="E22" s="18"/>
      <c r="F22" s="18"/>
      <c r="G22" s="18"/>
      <c r="H22" s="18"/>
      <c r="I22" s="18"/>
      <c r="J22" s="18"/>
    </row>
    <row r="23" customFormat="false" ht="15" hidden="false" customHeight="false" outlineLevel="0" collapsed="false">
      <c r="C23" s="18"/>
      <c r="D23" s="18"/>
      <c r="E23" s="18"/>
      <c r="F23" s="18"/>
      <c r="G23" s="18"/>
      <c r="H23" s="18"/>
      <c r="I23" s="18"/>
      <c r="J23" s="18"/>
    </row>
    <row r="24" customFormat="false" ht="15" hidden="false" customHeight="false" outlineLevel="0" collapsed="false">
      <c r="C24" s="18"/>
      <c r="D24" s="18"/>
      <c r="E24" s="18"/>
      <c r="F24" s="18"/>
      <c r="G24" s="18"/>
      <c r="H24" s="18"/>
      <c r="I24" s="18"/>
      <c r="J24" s="18"/>
    </row>
    <row r="25" customFormat="false" ht="16.15" hidden="false" customHeight="false" outlineLevel="0" collapsed="false">
      <c r="C25" s="18"/>
      <c r="D25" s="24" t="s">
        <v>39</v>
      </c>
      <c r="E25" s="25"/>
      <c r="F25" s="25"/>
      <c r="G25" s="25"/>
      <c r="H25" s="25"/>
      <c r="I25" s="25"/>
      <c r="J25" s="18"/>
    </row>
    <row r="26" customFormat="false" ht="15" hidden="false" customHeight="false" outlineLevel="0" collapsed="false">
      <c r="C26" s="18"/>
      <c r="D26" s="28" t="s">
        <v>40</v>
      </c>
      <c r="E26" s="37" t="s">
        <v>41</v>
      </c>
      <c r="F26" s="37"/>
      <c r="G26" s="37"/>
      <c r="H26" s="18"/>
      <c r="I26" s="18"/>
      <c r="J26" s="18"/>
    </row>
    <row r="27" customFormat="false" ht="15" hidden="false" customHeight="true" outlineLevel="0" collapsed="false">
      <c r="C27" s="18"/>
      <c r="D27" s="28" t="s">
        <v>42</v>
      </c>
      <c r="E27" s="30" t="n">
        <v>40</v>
      </c>
      <c r="F27" s="18"/>
      <c r="G27" s="18"/>
      <c r="H27" s="36" t="s">
        <v>43</v>
      </c>
      <c r="I27" s="36"/>
      <c r="J27" s="18"/>
    </row>
    <row r="28" customFormat="false" ht="30" hidden="false" customHeight="true" outlineLevel="0" collapsed="false">
      <c r="C28" s="18"/>
      <c r="D28" s="28" t="s">
        <v>44</v>
      </c>
      <c r="E28" s="30" t="n">
        <v>45</v>
      </c>
      <c r="F28" s="18"/>
      <c r="G28" s="18"/>
      <c r="H28" s="36"/>
      <c r="I28" s="36"/>
      <c r="J28" s="18"/>
    </row>
    <row r="29" customFormat="false" ht="30" hidden="false" customHeight="true" outlineLevel="0" collapsed="false">
      <c r="C29" s="18"/>
      <c r="D29" s="28" t="s">
        <v>45</v>
      </c>
      <c r="E29" s="30" t="n">
        <v>90</v>
      </c>
      <c r="F29" s="18"/>
      <c r="G29" s="18"/>
      <c r="H29" s="36"/>
      <c r="I29" s="36"/>
      <c r="J29" s="18"/>
    </row>
    <row r="30" customFormat="false" ht="15" hidden="false" customHeight="false" outlineLevel="0" collapsed="false">
      <c r="C30" s="18"/>
      <c r="D30" s="28" t="s">
        <v>46</v>
      </c>
      <c r="E30" s="38" t="n">
        <v>90</v>
      </c>
      <c r="F30" s="18"/>
      <c r="G30" s="18"/>
      <c r="H30" s="36"/>
      <c r="I30" s="36"/>
      <c r="J30" s="18"/>
    </row>
    <row r="31" customFormat="false" ht="30" hidden="false" customHeight="true" outlineLevel="0" collapsed="false">
      <c r="C31" s="18"/>
      <c r="D31" s="28" t="s">
        <v>47</v>
      </c>
      <c r="E31" s="37" t="s">
        <v>48</v>
      </c>
      <c r="F31" s="18"/>
      <c r="G31" s="18"/>
      <c r="H31" s="36"/>
      <c r="I31" s="36"/>
      <c r="J31" s="18"/>
    </row>
    <row r="32" customFormat="false" ht="30" hidden="false" customHeight="true" outlineLevel="0" collapsed="false">
      <c r="C32" s="18"/>
      <c r="D32" s="28" t="s">
        <v>49</v>
      </c>
      <c r="E32" s="37" t="s">
        <v>48</v>
      </c>
      <c r="F32" s="18"/>
      <c r="G32" s="18"/>
      <c r="H32" s="36"/>
      <c r="I32" s="36"/>
      <c r="J32" s="18"/>
    </row>
    <row r="33" customFormat="false" ht="15" hidden="false" customHeight="false" outlineLevel="0" collapsed="false">
      <c r="C33" s="18"/>
      <c r="D33" s="18"/>
      <c r="E33" s="18"/>
      <c r="F33" s="18"/>
      <c r="G33" s="18"/>
      <c r="H33" s="18"/>
      <c r="I33" s="18"/>
      <c r="J33" s="18"/>
    </row>
    <row r="34" customFormat="false" ht="15" hidden="false" customHeight="false" outlineLevel="0" collapsed="false">
      <c r="C34" s="18"/>
      <c r="D34" s="18"/>
      <c r="E34" s="18"/>
      <c r="F34" s="18"/>
      <c r="G34" s="18"/>
      <c r="H34" s="18"/>
      <c r="I34" s="18"/>
      <c r="J34" s="18"/>
    </row>
    <row r="35" customFormat="false" ht="16.15" hidden="false" customHeight="false" outlineLevel="0" collapsed="false">
      <c r="C35" s="18"/>
      <c r="D35" s="24" t="s">
        <v>50</v>
      </c>
      <c r="E35" s="25"/>
      <c r="F35" s="25"/>
      <c r="G35" s="25"/>
      <c r="H35" s="25"/>
      <c r="I35" s="25"/>
      <c r="J35" s="18"/>
    </row>
    <row r="36" customFormat="false" ht="30" hidden="false" customHeight="true" outlineLevel="0" collapsed="false">
      <c r="C36" s="18"/>
      <c r="D36" s="28" t="s">
        <v>51</v>
      </c>
      <c r="E36" s="39" t="n">
        <v>45352</v>
      </c>
      <c r="F36" s="36" t="s">
        <v>52</v>
      </c>
      <c r="G36" s="36"/>
      <c r="H36" s="36"/>
      <c r="I36" s="36"/>
      <c r="J36" s="18"/>
    </row>
    <row r="37" customFormat="false" ht="30" hidden="false" customHeight="true" outlineLevel="0" collapsed="false">
      <c r="C37" s="18"/>
      <c r="D37" s="28" t="s">
        <v>53</v>
      </c>
      <c r="E37" s="30" t="n">
        <v>5</v>
      </c>
      <c r="F37" s="36"/>
      <c r="G37" s="36"/>
      <c r="H37" s="36"/>
      <c r="I37" s="36"/>
      <c r="J37" s="18"/>
    </row>
    <row r="38" customFormat="false" ht="30" hidden="false" customHeight="true" outlineLevel="0" collapsed="false">
      <c r="C38" s="18"/>
      <c r="D38" s="28" t="s">
        <v>54</v>
      </c>
      <c r="E38" s="40" t="n">
        <v>250</v>
      </c>
      <c r="F38" s="36"/>
      <c r="G38" s="36"/>
      <c r="H38" s="36"/>
      <c r="I38" s="36"/>
      <c r="J38" s="18"/>
    </row>
    <row r="39" customFormat="false" ht="30" hidden="false" customHeight="true" outlineLevel="0" collapsed="false">
      <c r="C39" s="18"/>
      <c r="D39" s="28" t="s">
        <v>55</v>
      </c>
      <c r="E39" s="39" t="n">
        <f aca="true">TODAY()</f>
        <v>46304</v>
      </c>
      <c r="F39" s="36"/>
      <c r="G39" s="36"/>
      <c r="H39" s="36"/>
      <c r="I39" s="36"/>
      <c r="J39" s="18"/>
    </row>
    <row r="40" customFormat="false" ht="15" hidden="false" customHeight="false" outlineLevel="0" collapsed="false">
      <c r="C40" s="18"/>
      <c r="D40" s="18"/>
      <c r="E40" s="18"/>
      <c r="F40" s="18"/>
      <c r="G40" s="18"/>
      <c r="H40" s="18"/>
      <c r="I40" s="18"/>
      <c r="J40" s="18"/>
    </row>
    <row r="41" customFormat="false" ht="15" hidden="false" customHeight="false" outlineLevel="0" collapsed="false">
      <c r="C41" s="18"/>
      <c r="D41" s="18"/>
      <c r="E41" s="18"/>
      <c r="F41" s="18"/>
      <c r="G41" s="18"/>
      <c r="H41" s="18"/>
      <c r="I41" s="18"/>
      <c r="J41" s="18"/>
    </row>
    <row r="42" customFormat="false" ht="15" hidden="false" customHeight="false" outlineLevel="0" collapsed="false">
      <c r="C42" s="18"/>
      <c r="D42" s="18"/>
      <c r="E42" s="18"/>
      <c r="F42" s="18"/>
      <c r="G42" s="18"/>
      <c r="H42" s="18"/>
      <c r="I42" s="18"/>
      <c r="J42" s="18"/>
    </row>
    <row r="43" customFormat="false" ht="16.15" hidden="false" customHeight="false" outlineLevel="0" collapsed="false">
      <c r="C43" s="18"/>
      <c r="D43" s="24" t="s">
        <v>56</v>
      </c>
      <c r="E43" s="25"/>
      <c r="F43" s="25"/>
      <c r="G43" s="25"/>
      <c r="H43" s="25"/>
      <c r="I43" s="25"/>
      <c r="J43" s="18"/>
    </row>
    <row r="44" customFormat="false" ht="30" hidden="false" customHeight="true" outlineLevel="0" collapsed="false">
      <c r="C44" s="18"/>
      <c r="D44" s="28" t="s">
        <v>57</v>
      </c>
      <c r="E44" s="41" t="n">
        <f aca="false">IF(ISNUMBER(Calculation!C16),Calculation!C16,"–")</f>
        <v>-12.2077922077922</v>
      </c>
      <c r="F44" s="42" t="str">
        <f aca="false">IF(Calculation!C15&gt;0,"incl. compression "&amp;FIXED(Calculation!C15,1)&amp;" g/MJ","")</f>
        <v/>
      </c>
      <c r="G44" s="18"/>
      <c r="H44" s="18"/>
      <c r="I44" s="18"/>
      <c r="J44" s="18"/>
    </row>
    <row r="45" customFormat="false" ht="15" hidden="false" customHeight="false" outlineLevel="0" collapsed="false">
      <c r="C45" s="18"/>
      <c r="D45" s="18"/>
      <c r="E45" s="18"/>
      <c r="F45" s="18"/>
      <c r="G45" s="18"/>
      <c r="H45" s="18"/>
      <c r="I45" s="18"/>
      <c r="J45" s="18"/>
    </row>
    <row r="46" customFormat="false" ht="36" hidden="false" customHeight="true" outlineLevel="0" collapsed="false">
      <c r="C46" s="18"/>
      <c r="D46" s="43" t="s">
        <v>58</v>
      </c>
      <c r="E46" s="44" t="s">
        <v>59</v>
      </c>
      <c r="F46" s="44" t="s">
        <v>60</v>
      </c>
      <c r="G46" s="44" t="s">
        <v>61</v>
      </c>
      <c r="H46" s="44" t="s">
        <v>62</v>
      </c>
      <c r="I46" s="44" t="s">
        <v>63</v>
      </c>
      <c r="J46" s="18"/>
    </row>
    <row r="47" customFormat="false" ht="30" hidden="false" customHeight="true" outlineLevel="0" collapsed="false">
      <c r="C47" s="18"/>
      <c r="D47" s="45" t="s">
        <v>64</v>
      </c>
      <c r="E47" s="41" t="str">
        <f aca="false">Calculation!D50</f>
        <v>–</v>
      </c>
      <c r="F47" s="31" t="str">
        <f aca="false">Calculation!E50</f>
        <v>–</v>
      </c>
      <c r="G47" s="35" t="str">
        <f aca="false">Calculation!F50</f>
        <v>–</v>
      </c>
      <c r="H47" s="46" t="str">
        <f aca="false">Calculation!G50</f>
        <v>–</v>
      </c>
      <c r="I47" s="47" t="str">
        <f aca="false">Calculation!H50</f>
        <v>–</v>
      </c>
      <c r="J47" s="18"/>
    </row>
    <row r="48" customFormat="false" ht="30" hidden="false" customHeight="true" outlineLevel="0" collapsed="false">
      <c r="C48" s="18"/>
      <c r="D48" s="45" t="s">
        <v>65</v>
      </c>
      <c r="E48" s="41" t="n">
        <f aca="false">Calculation!D51</f>
        <v>-23.8655240108728</v>
      </c>
      <c r="F48" s="31" t="n">
        <f aca="false">Calculation!E51</f>
        <v>183</v>
      </c>
      <c r="G48" s="35" t="n">
        <f aca="false">Calculation!F51</f>
        <v>1.13041269951297</v>
      </c>
      <c r="H48" s="46" t="n">
        <f aca="false">Calculation!G51</f>
        <v>0.8</v>
      </c>
      <c r="I48" s="47" t="str">
        <f aca="false">Calculation!H51</f>
        <v>met</v>
      </c>
      <c r="J48" s="18"/>
    </row>
    <row r="49" customFormat="false" ht="30" hidden="false" customHeight="true" outlineLevel="0" collapsed="false">
      <c r="C49" s="18"/>
      <c r="D49" s="45" t="s">
        <v>66</v>
      </c>
      <c r="E49" s="41" t="n">
        <f aca="false">Calculation!D52</f>
        <v>-5.91462800765126</v>
      </c>
      <c r="F49" s="31" t="n">
        <f aca="false">Calculation!E52</f>
        <v>80</v>
      </c>
      <c r="G49" s="35" t="n">
        <f aca="false">Calculation!F52</f>
        <v>1.07393285009564</v>
      </c>
      <c r="H49" s="46" t="n">
        <f aca="false">Calculation!G52</f>
        <v>0.8</v>
      </c>
      <c r="I49" s="47" t="str">
        <f aca="false">Calculation!H52</f>
        <v>met</v>
      </c>
      <c r="J49" s="18"/>
    </row>
    <row r="50" customFormat="false" ht="15" hidden="false" customHeight="false" outlineLevel="0" collapsed="false">
      <c r="C50" s="18"/>
      <c r="D50" s="18"/>
      <c r="E50" s="18"/>
      <c r="F50" s="18"/>
      <c r="G50" s="18"/>
      <c r="H50" s="18"/>
      <c r="I50" s="18"/>
      <c r="J50" s="18"/>
    </row>
    <row r="51" customFormat="false" ht="33.75" hidden="false" customHeight="true" outlineLevel="0" collapsed="false">
      <c r="C51" s="18"/>
      <c r="D51" s="48" t="str">
        <f aca="false">Calculation!C60</f>
        <v>GHG emissions: -12.2 g CO2eq/MJ biomethane | Saving electricity: 113.0 % | Saving heat: 107.4 %</v>
      </c>
      <c r="E51" s="48"/>
      <c r="F51" s="48"/>
      <c r="G51" s="48"/>
      <c r="H51" s="48"/>
      <c r="I51" s="48"/>
      <c r="J51" s="18"/>
    </row>
    <row r="52" customFormat="false" ht="15" hidden="false" customHeight="false" outlineLevel="0" collapsed="false">
      <c r="C52" s="18"/>
      <c r="D52" s="18"/>
      <c r="E52" s="18"/>
      <c r="F52" s="18"/>
      <c r="G52" s="18"/>
      <c r="H52" s="18"/>
      <c r="I52" s="18"/>
      <c r="J52" s="18"/>
    </row>
    <row r="53" customFormat="false" ht="30" hidden="false" customHeight="true" outlineLevel="0" collapsed="false">
      <c r="C53" s="18"/>
      <c r="D53" s="49" t="s">
        <v>67</v>
      </c>
      <c r="E53" s="50" t="str">
        <f aca="false">Calculation!C61</f>
        <v>Art. 29(10) point d: 80 % from commissioning</v>
      </c>
      <c r="F53" s="50"/>
      <c r="G53" s="50"/>
      <c r="H53" s="50"/>
      <c r="I53" s="50"/>
      <c r="J53" s="18"/>
    </row>
    <row r="54" customFormat="false" ht="30" hidden="false" customHeight="true" outlineLevel="0" collapsed="false">
      <c r="C54" s="18"/>
      <c r="D54" s="49" t="s">
        <v>68</v>
      </c>
      <c r="E54" s="50" t="str">
        <f aca="false">Calculation!C62</f>
        <v>Utilisation plant ≥ 2 MW: covered by the criteria (point (b)).</v>
      </c>
      <c r="F54" s="50"/>
      <c r="G54" s="50"/>
      <c r="H54" s="50"/>
      <c r="I54" s="50"/>
      <c r="J54" s="18"/>
    </row>
    <row r="55" customFormat="false" ht="15" hidden="false" customHeight="false" outlineLevel="0" collapsed="false">
      <c r="C55" s="18"/>
      <c r="D55" s="18"/>
      <c r="E55" s="18"/>
      <c r="F55" s="18"/>
      <c r="G55" s="18"/>
      <c r="H55" s="18"/>
      <c r="I55" s="18"/>
      <c r="J55" s="18"/>
    </row>
    <row r="56" customFormat="false" ht="15" hidden="false" customHeight="false" outlineLevel="0" collapsed="false">
      <c r="C56" s="18"/>
      <c r="D56" s="49" t="s">
        <v>69</v>
      </c>
      <c r="E56" s="18"/>
      <c r="F56" s="18"/>
      <c r="G56" s="18"/>
      <c r="H56" s="18"/>
      <c r="I56" s="18"/>
      <c r="J56" s="18"/>
    </row>
    <row r="57" customFormat="false" ht="15" hidden="false" customHeight="false" outlineLevel="0" collapsed="false">
      <c r="C57" s="18"/>
      <c r="D57" s="51" t="str">
        <f aca="false">Calculation!C65</f>
        <v/>
      </c>
      <c r="E57" s="51"/>
      <c r="F57" s="51"/>
      <c r="G57" s="51"/>
      <c r="H57" s="51"/>
      <c r="I57" s="51"/>
      <c r="J57" s="18"/>
    </row>
    <row r="58" customFormat="false" ht="15" hidden="false" customHeight="false" outlineLevel="0" collapsed="false">
      <c r="C58" s="18"/>
      <c r="D58" s="51" t="str">
        <f aca="false">Calculation!C66</f>
        <v/>
      </c>
      <c r="E58" s="51"/>
      <c r="F58" s="51"/>
      <c r="G58" s="51"/>
      <c r="H58" s="51"/>
      <c r="I58" s="51"/>
      <c r="J58" s="18"/>
    </row>
    <row r="59" customFormat="false" ht="15" hidden="false" customHeight="false" outlineLevel="0" collapsed="false">
      <c r="C59" s="18"/>
      <c r="D59" s="51" t="str">
        <f aca="false">Calculation!C67</f>
        <v/>
      </c>
      <c r="E59" s="51"/>
      <c r="F59" s="51"/>
      <c r="G59" s="51"/>
      <c r="H59" s="51"/>
      <c r="I59" s="51"/>
      <c r="J59" s="18"/>
    </row>
    <row r="60" customFormat="false" ht="15" hidden="false" customHeight="false" outlineLevel="0" collapsed="false">
      <c r="C60" s="18"/>
      <c r="D60" s="51" t="str">
        <f aca="false">Calculation!C68</f>
        <v/>
      </c>
      <c r="E60" s="51"/>
      <c r="F60" s="51"/>
      <c r="G60" s="51"/>
      <c r="H60" s="51"/>
      <c r="I60" s="51"/>
      <c r="J60" s="18"/>
    </row>
    <row r="61" customFormat="false" ht="15" hidden="false" customHeight="false" outlineLevel="0" collapsed="false">
      <c r="C61" s="18"/>
      <c r="D61" s="51" t="str">
        <f aca="false">Calculation!C69</f>
        <v/>
      </c>
      <c r="E61" s="51"/>
      <c r="F61" s="51"/>
      <c r="G61" s="51"/>
      <c r="H61" s="51"/>
      <c r="I61" s="51"/>
      <c r="J61" s="18"/>
    </row>
    <row r="62" customFormat="false" ht="15" hidden="false" customHeight="false" outlineLevel="0" collapsed="false">
      <c r="C62" s="18"/>
      <c r="D62" s="51" t="str">
        <f aca="false">Calculation!C70</f>
        <v/>
      </c>
      <c r="E62" s="51"/>
      <c r="F62" s="51"/>
      <c r="G62" s="51"/>
      <c r="H62" s="51"/>
      <c r="I62" s="51"/>
      <c r="J62" s="18"/>
    </row>
    <row r="63" customFormat="false" ht="15" hidden="false" customHeight="false" outlineLevel="0" collapsed="false">
      <c r="C63" s="18"/>
      <c r="D63" s="51" t="str">
        <f aca="false">Calculation!C71</f>
        <v/>
      </c>
      <c r="E63" s="51"/>
      <c r="F63" s="51"/>
      <c r="G63" s="51"/>
      <c r="H63" s="51"/>
      <c r="I63" s="51"/>
      <c r="J63" s="18"/>
    </row>
    <row r="64" customFormat="false" ht="15" hidden="false" customHeight="false" outlineLevel="0" collapsed="false">
      <c r="C64" s="18"/>
      <c r="D64" s="51" t="str">
        <f aca="false">Calculation!C72</f>
        <v/>
      </c>
      <c r="E64" s="51"/>
      <c r="F64" s="51"/>
      <c r="G64" s="51"/>
      <c r="H64" s="51"/>
      <c r="I64" s="51"/>
      <c r="J64" s="18"/>
    </row>
    <row r="65" customFormat="false" ht="15" hidden="false" customHeight="false" outlineLevel="0" collapsed="false">
      <c r="C65" s="18"/>
      <c r="D65" s="18"/>
      <c r="E65" s="18"/>
      <c r="F65" s="18"/>
      <c r="G65" s="18"/>
      <c r="H65" s="18"/>
      <c r="I65" s="18"/>
      <c r="J65" s="18"/>
    </row>
    <row r="66" customFormat="false" ht="15" hidden="false" customHeight="false" outlineLevel="0" collapsed="false">
      <c r="C66" s="18"/>
      <c r="D66" s="18"/>
      <c r="E66" s="18"/>
      <c r="F66" s="18"/>
      <c r="G66" s="18"/>
      <c r="H66" s="18"/>
      <c r="I66" s="18"/>
      <c r="J66" s="18"/>
    </row>
    <row r="67" customFormat="false" ht="15" hidden="false" customHeight="false" outlineLevel="0" collapsed="false">
      <c r="C67" s="18"/>
      <c r="D67" s="18"/>
      <c r="E67" s="18"/>
      <c r="F67" s="18"/>
      <c r="G67" s="18"/>
      <c r="H67" s="18"/>
      <c r="I67" s="18"/>
      <c r="J67" s="18"/>
    </row>
    <row r="68" customFormat="false" ht="15" hidden="false" customHeight="true" outlineLevel="0" collapsed="false">
      <c r="B68" s="52" t="s">
        <v>70</v>
      </c>
      <c r="C68" s="52"/>
      <c r="D68" s="52"/>
      <c r="E68" s="52"/>
      <c r="F68" s="52"/>
      <c r="G68" s="52"/>
      <c r="H68" s="52"/>
      <c r="I68" s="52"/>
      <c r="J68" s="52"/>
    </row>
    <row r="69" customFormat="false" ht="15" hidden="false" customHeight="false" outlineLevel="0" collapsed="false">
      <c r="B69" s="52"/>
      <c r="C69" s="52"/>
      <c r="D69" s="52"/>
      <c r="E69" s="52"/>
      <c r="F69" s="52"/>
      <c r="G69" s="52"/>
      <c r="H69" s="52"/>
      <c r="I69" s="52"/>
      <c r="J69" s="52"/>
    </row>
    <row r="70" customFormat="false" ht="15" hidden="false" customHeight="false" outlineLevel="0" collapsed="false">
      <c r="B70" s="52"/>
      <c r="C70" s="52"/>
      <c r="D70" s="52"/>
      <c r="E70" s="52"/>
      <c r="F70" s="52"/>
      <c r="G70" s="52"/>
      <c r="H70" s="52"/>
      <c r="I70" s="52"/>
      <c r="J70" s="52"/>
    </row>
    <row r="71" customFormat="false" ht="15" hidden="false" customHeight="false" outlineLevel="0" collapsed="false">
      <c r="B71" s="53" t="s">
        <v>71</v>
      </c>
      <c r="C71" s="18"/>
      <c r="D71" s="18"/>
      <c r="E71" s="18"/>
      <c r="F71" s="18"/>
      <c r="G71" s="18"/>
      <c r="H71" s="18"/>
      <c r="I71" s="18"/>
      <c r="J71" s="18"/>
    </row>
    <row r="72" customFormat="false" ht="15" hidden="false" customHeight="false" outlineLevel="0" collapsed="false">
      <c r="C72" s="18"/>
      <c r="D72" s="18"/>
      <c r="E72" s="18"/>
      <c r="F72" s="18"/>
      <c r="G72" s="18"/>
      <c r="H72" s="18"/>
      <c r="I72" s="18"/>
      <c r="J72" s="18"/>
    </row>
    <row r="73" customFormat="false" ht="15" hidden="false" customHeight="false" outlineLevel="0" collapsed="false">
      <c r="C73" s="18"/>
      <c r="D73" s="18"/>
      <c r="E73" s="18"/>
      <c r="F73" s="18"/>
      <c r="G73" s="18"/>
      <c r="H73" s="18"/>
      <c r="I73" s="18"/>
      <c r="J73" s="18"/>
    </row>
    <row r="74" customFormat="false" ht="15" hidden="false" customHeight="false" outlineLevel="0" collapsed="false">
      <c r="C74" s="18"/>
      <c r="D74" s="18"/>
      <c r="E74" s="18"/>
      <c r="F74" s="18"/>
      <c r="G74" s="18"/>
      <c r="H74" s="18"/>
      <c r="I74" s="18"/>
      <c r="J74" s="18"/>
    </row>
    <row r="75" customFormat="false" ht="15" hidden="false" customHeight="false" outlineLevel="0" collapsed="false">
      <c r="C75" s="18"/>
      <c r="D75" s="18"/>
      <c r="E75" s="18"/>
      <c r="F75" s="18"/>
      <c r="G75" s="18"/>
      <c r="H75" s="18"/>
      <c r="I75" s="18"/>
      <c r="J75" s="18"/>
    </row>
  </sheetData>
  <mergeCells count="18">
    <mergeCell ref="H5:I5"/>
    <mergeCell ref="D13:I15"/>
    <mergeCell ref="F18:I21"/>
    <mergeCell ref="E26:G26"/>
    <mergeCell ref="H27:I32"/>
    <mergeCell ref="F36:I39"/>
    <mergeCell ref="D51:I51"/>
    <mergeCell ref="E53:I53"/>
    <mergeCell ref="E54:I54"/>
    <mergeCell ref="D57:I57"/>
    <mergeCell ref="D58:I58"/>
    <mergeCell ref="D59:I59"/>
    <mergeCell ref="D60:I60"/>
    <mergeCell ref="D61:I61"/>
    <mergeCell ref="D62:I62"/>
    <mergeCell ref="D63:I63"/>
    <mergeCell ref="D64:I64"/>
    <mergeCell ref="B68:J70"/>
  </mergeCells>
  <conditionalFormatting sqref="E27">
    <cfRule type="expression" priority="2" aboveAverage="0" equalAverage="0" bottom="0" percent="0" rank="0" text="" dxfId="0">
      <formula>AND($E$26&lt;&gt;Lists!$H$6,$E$26&lt;&gt;Lists!$H$8)</formula>
    </cfRule>
  </conditionalFormatting>
  <conditionalFormatting sqref="E28">
    <cfRule type="expression" priority="3" aboveAverage="0" equalAverage="0" bottom="0" percent="0" rank="0" text="" dxfId="0">
      <formula>$E$26&lt;&gt;Lists!$H$8</formula>
    </cfRule>
  </conditionalFormatting>
  <conditionalFormatting sqref="E29">
    <cfRule type="expression" priority="4" aboveAverage="0" equalAverage="0" bottom="0" percent="0" rank="0" text="" dxfId="0">
      <formula>$E$26&lt;&gt;Lists!$H$7</formula>
    </cfRule>
  </conditionalFormatting>
  <conditionalFormatting sqref="E30">
    <cfRule type="expression" priority="5" aboveAverage="0" equalAverage="0" bottom="0" percent="0" rank="0" text="" dxfId="0">
      <formula>OR($E$26&lt;&gt;Lists!$H$8,$E$31="Yes")</formula>
    </cfRule>
  </conditionalFormatting>
  <conditionalFormatting sqref="E31">
    <cfRule type="expression" priority="6" aboveAverage="0" equalAverage="0" bottom="0" percent="0" rank="0" text="" dxfId="0">
      <formula>$E$26&lt;&gt;Lists!$H$8</formula>
    </cfRule>
  </conditionalFormatting>
  <conditionalFormatting sqref="E32">
    <cfRule type="expression" priority="7" aboveAverage="0" equalAverage="0" bottom="0" percent="0" rank="0" text="" dxfId="0">
      <formula>AND($E$26&lt;&gt;Lists!$H$7,$E$26&lt;&gt;Lists!$H$8)</formula>
    </cfRule>
  </conditionalFormatting>
  <conditionalFormatting sqref="E37">
    <cfRule type="expression" priority="8" aboveAverage="0" equalAverage="0" bottom="0" percent="0" rank="0" text="" dxfId="0">
      <formula>$E$26=Lists!$H$5</formula>
    </cfRule>
  </conditionalFormatting>
  <conditionalFormatting sqref="E21">
    <cfRule type="expression" priority="9" aboveAverage="0" equalAverage="0" bottom="0" percent="0" rank="0" text="" dxfId="0">
      <formula>$E$10=0</formula>
    </cfRule>
  </conditionalFormatting>
  <conditionalFormatting sqref="I47:I49">
    <cfRule type="expression" priority="10" aboveAverage="0" equalAverage="0" bottom="0" percent="0" rank="0" text="" dxfId="1">
      <formula>LEFT(I47,11)="met"</formula>
    </cfRule>
    <cfRule type="expression" priority="11" aboveAverage="0" equalAverage="0" bottom="0" percent="0" rank="0" text="" dxfId="2">
      <formula>LEFT(I47,5)="nicht"</formula>
    </cfRule>
  </conditionalFormatting>
  <dataValidations count="7">
    <dataValidation allowBlank="false" error="Please select a value from the list." errorStyle="stop" errorTitle="Invalid input" operator="between" showDropDown="false" showErrorMessage="true" showInputMessage="false" sqref="E18" type="list">
      <formula1>Lists!$D$5:$D$6</formula1>
      <formula2>0</formula2>
    </dataValidation>
    <dataValidation allowBlank="false" error="Please select a value from the list." errorStyle="stop" errorTitle="Invalid input" operator="between" showDropDown="false" showErrorMessage="true" showInputMessage="false" sqref="E19 E21 E31:E32" type="list">
      <formula1>Lists!$B$5:$B$6</formula1>
      <formula2>0</formula2>
    </dataValidation>
    <dataValidation allowBlank="false" error="Please select a value from the list." errorStyle="stop" errorTitle="Invalid input" operator="between" showDropDown="false" showErrorMessage="true" showInputMessage="false" sqref="E20" type="list">
      <formula1>Lists!$F$5:$F$6</formula1>
      <formula2>0</formula2>
    </dataValidation>
    <dataValidation allowBlank="false" error="Please select a value from the list." errorStyle="stop" errorTitle="Invalid input" operator="between" showDropDown="false" showErrorMessage="true" showInputMessage="false" sqref="E26" type="list">
      <formula1>Lists!$H$5:$H$8</formula1>
      <formula2>0</formula2>
    </dataValidation>
    <dataValidation allowBlank="true" error="Please enter a number ≥ 0." errorStyle="stop" operator="greaterThanOrEqual" showDropDown="false" showErrorMessage="true" showInputMessage="false" sqref="E9:E11 E37:E38" type="decimal">
      <formula1>0</formula1>
      <formula2>0</formula2>
    </dataValidation>
    <dataValidation allowBlank="true" error="Please enter a percentage between 0 and 100." errorStyle="stop" operator="between" showDropDown="false" showErrorMessage="true" showInputMessage="false" sqref="F9:F11 E27:E29" type="decimal">
      <formula1>0</formula1>
      <formula2>100</formula2>
    </dataValidation>
    <dataValidation allowBlank="true" error="Please enter a date." errorStyle="stop" operator="greaterThan" showDropDown="false" showErrorMessage="true" showInputMessage="false" sqref="E36 E39" type="date">
      <formula1>1</formula1>
      <formula2>0</formula2>
    </dataValidation>
  </dataValidations>
  <hyperlinks>
    <hyperlink ref="B71" r:id="rId2" display="https://eur-lex.europa.eu/legal-content/EN/TXT/?uri=CELEX:02018L2001-20240716"/>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6"/>
    <col collapsed="false" customWidth="true" hidden="false" outlineLevel="0" max="3" min="3" style="14" width="16"/>
    <col collapsed="false" customWidth="true" hidden="false" outlineLevel="0" max="5" min="4" style="14" width="60"/>
    <col collapsed="false" customWidth="true" hidden="false" outlineLevel="0" max="6" min="6" style="14" width="30"/>
  </cols>
  <sheetData>
    <row r="2" customFormat="false" ht="19.7" hidden="false" customHeight="false" outlineLevel="0" collapsed="false">
      <c r="B2" s="54" t="s">
        <v>72</v>
      </c>
    </row>
    <row r="4" customFormat="false" ht="15" hidden="false" customHeight="false" outlineLevel="0" collapsed="false">
      <c r="B4" s="55" t="s">
        <v>73</v>
      </c>
      <c r="C4" s="55" t="s">
        <v>74</v>
      </c>
      <c r="D4" s="55" t="s">
        <v>75</v>
      </c>
      <c r="E4" s="55" t="s">
        <v>76</v>
      </c>
      <c r="F4" s="55" t="s">
        <v>77</v>
      </c>
    </row>
    <row r="5" customFormat="false" ht="48" hidden="false" customHeight="true" outlineLevel="0" collapsed="false">
      <c r="B5" s="56" t="n">
        <v>1</v>
      </c>
      <c r="C5" s="57" t="s">
        <v>78</v>
      </c>
      <c r="D5" s="57" t="s">
        <v>79</v>
      </c>
      <c r="E5" s="57" t="s">
        <v>80</v>
      </c>
      <c r="F5" s="57" t="s">
        <v>81</v>
      </c>
    </row>
    <row r="6" customFormat="false" ht="48" hidden="false" customHeight="true" outlineLevel="0" collapsed="false">
      <c r="B6" s="56" t="n">
        <v>2</v>
      </c>
      <c r="C6" s="57" t="s">
        <v>82</v>
      </c>
      <c r="D6" s="57" t="s">
        <v>83</v>
      </c>
      <c r="E6" s="57" t="s">
        <v>84</v>
      </c>
      <c r="F6" s="57" t="s">
        <v>85</v>
      </c>
    </row>
    <row r="7" customFormat="false" ht="48" hidden="false" customHeight="true" outlineLevel="0" collapsed="false">
      <c r="B7" s="56" t="n">
        <v>3</v>
      </c>
      <c r="C7" s="57" t="s">
        <v>86</v>
      </c>
      <c r="D7" s="57" t="s">
        <v>87</v>
      </c>
      <c r="E7" s="57" t="s">
        <v>88</v>
      </c>
      <c r="F7" s="57" t="s">
        <v>89</v>
      </c>
    </row>
    <row r="8" customFormat="false" ht="48" hidden="false" customHeight="true" outlineLevel="0" collapsed="false">
      <c r="B8" s="56" t="n">
        <v>4</v>
      </c>
      <c r="C8" s="57" t="s">
        <v>90</v>
      </c>
      <c r="D8" s="57" t="s">
        <v>91</v>
      </c>
      <c r="E8" s="57" t="s">
        <v>92</v>
      </c>
      <c r="F8" s="57" t="s">
        <v>93</v>
      </c>
    </row>
    <row r="9" customFormat="false" ht="48" hidden="false" customHeight="true" outlineLevel="0" collapsed="false">
      <c r="B9" s="56" t="n">
        <v>5</v>
      </c>
      <c r="C9" s="57" t="s">
        <v>94</v>
      </c>
      <c r="D9" s="57" t="s">
        <v>95</v>
      </c>
      <c r="E9" s="57" t="s">
        <v>96</v>
      </c>
      <c r="F9" s="57" t="s">
        <v>97</v>
      </c>
    </row>
    <row r="10" customFormat="false" ht="48" hidden="false" customHeight="true" outlineLevel="0" collapsed="false">
      <c r="B10" s="56" t="n">
        <v>6</v>
      </c>
      <c r="C10" s="57" t="s">
        <v>94</v>
      </c>
      <c r="D10" s="57" t="s">
        <v>98</v>
      </c>
      <c r="E10" s="57" t="s">
        <v>99</v>
      </c>
      <c r="F10" s="57" t="s">
        <v>100</v>
      </c>
    </row>
    <row r="11" customFormat="false" ht="48" hidden="false" customHeight="true" outlineLevel="0" collapsed="false">
      <c r="B11" s="56" t="n">
        <v>7</v>
      </c>
      <c r="C11" s="57" t="s">
        <v>101</v>
      </c>
      <c r="D11" s="57" t="s">
        <v>102</v>
      </c>
      <c r="E11" s="57" t="s">
        <v>103</v>
      </c>
      <c r="F11" s="57" t="s">
        <v>104</v>
      </c>
    </row>
    <row r="12" customFormat="false" ht="48" hidden="false" customHeight="true" outlineLevel="0" collapsed="false">
      <c r="B12" s="56" t="n">
        <v>8</v>
      </c>
      <c r="C12" s="57" t="s">
        <v>14</v>
      </c>
      <c r="D12" s="57" t="s">
        <v>105</v>
      </c>
      <c r="E12" s="57" t="s">
        <v>106</v>
      </c>
      <c r="F12" s="57" t="s">
        <v>107</v>
      </c>
    </row>
    <row r="13" customFormat="false" ht="48" hidden="false" customHeight="true" outlineLevel="0" collapsed="false">
      <c r="B13" s="56" t="n">
        <v>9</v>
      </c>
      <c r="C13" s="57" t="s">
        <v>14</v>
      </c>
      <c r="D13" s="57" t="s">
        <v>108</v>
      </c>
      <c r="E13" s="57" t="s">
        <v>109</v>
      </c>
      <c r="F13" s="57" t="s">
        <v>107</v>
      </c>
    </row>
    <row r="14" customFormat="false" ht="48" hidden="false" customHeight="true" outlineLevel="0" collapsed="false">
      <c r="B14" s="56" t="n">
        <v>10</v>
      </c>
      <c r="C14" s="57" t="s">
        <v>110</v>
      </c>
      <c r="D14" s="57" t="s">
        <v>107</v>
      </c>
      <c r="E14" s="57" t="s">
        <v>111</v>
      </c>
      <c r="F14" s="57"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46"/>
    <col collapsed="false" customWidth="true" hidden="false" outlineLevel="0" max="3" min="3" style="14" width="62"/>
    <col collapsed="false" customWidth="true" hidden="false" outlineLevel="0" max="4" min="4" style="14" width="18"/>
    <col collapsed="false" customWidth="true" hidden="false" outlineLevel="0" max="5" min="5" style="14" width="52"/>
  </cols>
  <sheetData>
    <row r="2" customFormat="false" ht="19.7" hidden="false" customHeight="false" outlineLevel="0" collapsed="false">
      <c r="B2" s="54" t="s">
        <v>113</v>
      </c>
    </row>
    <row r="4" customFormat="false" ht="15" hidden="false" customHeight="false" outlineLevel="0" collapsed="false">
      <c r="B4" s="58" t="s">
        <v>114</v>
      </c>
    </row>
    <row r="5" customFormat="false" ht="15" hidden="false" customHeight="false" outlineLevel="0" collapsed="false">
      <c r="B5" s="59" t="s">
        <v>115</v>
      </c>
      <c r="C5" s="60" t="n">
        <v>94</v>
      </c>
      <c r="D5" s="59" t="s">
        <v>116</v>
      </c>
    </row>
    <row r="6" customFormat="false" ht="15" hidden="false" customHeight="false" outlineLevel="0" collapsed="false">
      <c r="B6" s="59" t="s">
        <v>117</v>
      </c>
      <c r="C6" s="60" t="n">
        <v>183</v>
      </c>
      <c r="D6" s="59" t="s">
        <v>116</v>
      </c>
    </row>
    <row r="7" customFormat="false" ht="15" hidden="false" customHeight="false" outlineLevel="0" collapsed="false">
      <c r="B7" s="59" t="s">
        <v>118</v>
      </c>
      <c r="C7" s="60" t="n">
        <v>80</v>
      </c>
      <c r="D7" s="59" t="s">
        <v>116</v>
      </c>
    </row>
    <row r="8" customFormat="false" ht="15" hidden="false" customHeight="false" outlineLevel="0" collapsed="false">
      <c r="B8" s="59" t="s">
        <v>119</v>
      </c>
      <c r="C8" s="60" t="n">
        <v>124</v>
      </c>
      <c r="D8" s="59" t="s">
        <v>116</v>
      </c>
    </row>
    <row r="10" customFormat="false" ht="15" hidden="false" customHeight="false" outlineLevel="0" collapsed="false">
      <c r="B10" s="58" t="s">
        <v>120</v>
      </c>
    </row>
    <row r="11" customFormat="false" ht="15" hidden="false" customHeight="false" outlineLevel="0" collapsed="false">
      <c r="B11" s="55" t="s">
        <v>121</v>
      </c>
      <c r="C11" s="55" t="s">
        <v>122</v>
      </c>
      <c r="D11" s="55" t="s">
        <v>123</v>
      </c>
      <c r="E11" s="55" t="s">
        <v>124</v>
      </c>
    </row>
    <row r="12" customFormat="false" ht="30" hidden="false" customHeight="true" outlineLevel="0" collapsed="false">
      <c r="B12" s="60" t="s">
        <v>125</v>
      </c>
      <c r="C12" s="61" t="s">
        <v>126</v>
      </c>
      <c r="D12" s="62" t="n">
        <v>0.5</v>
      </c>
      <c r="E12" s="61"/>
    </row>
    <row r="13" customFormat="false" ht="30" hidden="false" customHeight="true" outlineLevel="0" collapsed="false">
      <c r="B13" s="60" t="s">
        <v>127</v>
      </c>
      <c r="C13" s="61" t="s">
        <v>128</v>
      </c>
      <c r="D13" s="62" t="n">
        <v>0.6</v>
      </c>
      <c r="E13" s="61"/>
    </row>
    <row r="14" customFormat="false" ht="30" hidden="false" customHeight="true" outlineLevel="0" collapsed="false">
      <c r="B14" s="60" t="s">
        <v>129</v>
      </c>
      <c r="C14" s="61" t="s">
        <v>130</v>
      </c>
      <c r="D14" s="62" t="n">
        <v>0.65</v>
      </c>
      <c r="E14" s="61"/>
    </row>
    <row r="15" customFormat="false" ht="30" hidden="false" customHeight="true" outlineLevel="0" collapsed="false">
      <c r="B15" s="60" t="s">
        <v>131</v>
      </c>
      <c r="C15" s="61" t="s">
        <v>132</v>
      </c>
      <c r="D15" s="62" t="n">
        <v>0.8</v>
      </c>
      <c r="E15" s="61"/>
    </row>
    <row r="16" customFormat="false" ht="30" hidden="false" customHeight="true" outlineLevel="0" collapsed="false">
      <c r="B16" s="60" t="s">
        <v>133</v>
      </c>
      <c r="C16" s="61" t="s">
        <v>134</v>
      </c>
      <c r="D16" s="62" t="n">
        <v>0.7</v>
      </c>
      <c r="E16" s="61" t="s">
        <v>135</v>
      </c>
    </row>
    <row r="17" customFormat="false" ht="30" hidden="false" customHeight="true" outlineLevel="0" collapsed="false">
      <c r="B17" s="60" t="s">
        <v>136</v>
      </c>
      <c r="C17" s="61" t="s">
        <v>137</v>
      </c>
      <c r="D17" s="62" t="n">
        <v>0.7</v>
      </c>
      <c r="E17" s="61" t="s">
        <v>138</v>
      </c>
    </row>
    <row r="18" customFormat="false" ht="30" hidden="false" customHeight="true" outlineLevel="0" collapsed="false">
      <c r="B18" s="60" t="s">
        <v>139</v>
      </c>
      <c r="C18" s="61" t="s">
        <v>140</v>
      </c>
      <c r="D18" s="62" t="n">
        <v>0.8</v>
      </c>
      <c r="E18" s="61" t="s">
        <v>141</v>
      </c>
    </row>
    <row r="19" customFormat="false" ht="30" hidden="false" customHeight="true" outlineLevel="0" collapsed="false">
      <c r="B19" s="60" t="s">
        <v>142</v>
      </c>
      <c r="C19" s="61" t="s">
        <v>143</v>
      </c>
      <c r="D19" s="62" t="n">
        <v>0.8</v>
      </c>
      <c r="E19" s="61" t="s">
        <v>144</v>
      </c>
    </row>
    <row r="21" customFormat="false" ht="15" hidden="false" customHeight="false" outlineLevel="0" collapsed="false">
      <c r="B21" s="59" t="s">
        <v>145</v>
      </c>
      <c r="D21" s="62" t="n">
        <v>0.8</v>
      </c>
    </row>
    <row r="23" customFormat="false" ht="15" hidden="false" customHeight="false" outlineLevel="0" collapsed="false">
      <c r="B23" s="58" t="s">
        <v>146</v>
      </c>
    </row>
    <row r="24" customFormat="false" ht="15" hidden="false" customHeight="false" outlineLevel="0" collapsed="false">
      <c r="B24" s="59" t="s">
        <v>147</v>
      </c>
      <c r="C24" s="63" t="n">
        <v>42282</v>
      </c>
    </row>
    <row r="25" customFormat="false" ht="15" hidden="false" customHeight="false" outlineLevel="0" collapsed="false">
      <c r="B25" s="59" t="s">
        <v>148</v>
      </c>
      <c r="C25" s="63" t="n">
        <v>44196</v>
      </c>
    </row>
    <row r="26" customFormat="false" ht="15" hidden="false" customHeight="false" outlineLevel="0" collapsed="false">
      <c r="B26" s="59" t="s">
        <v>149</v>
      </c>
      <c r="C26" s="63" t="n">
        <v>44197</v>
      </c>
    </row>
    <row r="27" customFormat="false" ht="15" hidden="false" customHeight="false" outlineLevel="0" collapsed="false">
      <c r="B27" s="59" t="s">
        <v>150</v>
      </c>
      <c r="C27" s="63" t="n">
        <v>45250</v>
      </c>
    </row>
    <row r="28" customFormat="false" ht="15" hidden="false" customHeight="false" outlineLevel="0" collapsed="false">
      <c r="B28" s="59" t="s">
        <v>151</v>
      </c>
      <c r="C28" s="63" t="n">
        <v>47483</v>
      </c>
    </row>
    <row r="29" customFormat="false" ht="15" hidden="false" customHeight="false" outlineLevel="0" collapsed="false">
      <c r="B29" s="59" t="s">
        <v>152</v>
      </c>
      <c r="C29" s="63" t="n">
        <v>46023</v>
      </c>
    </row>
    <row r="30" customFormat="false" ht="15" hidden="false" customHeight="false" outlineLevel="0" collapsed="false">
      <c r="B30" s="59" t="s">
        <v>153</v>
      </c>
      <c r="C30" s="63" t="n">
        <v>47483</v>
      </c>
    </row>
    <row r="32" customFormat="false" ht="15" hidden="false" customHeight="false" outlineLevel="0" collapsed="false">
      <c r="B32" s="58" t="s">
        <v>154</v>
      </c>
    </row>
    <row r="33" customFormat="false" ht="30" hidden="false" customHeight="true" outlineLevel="0" collapsed="false">
      <c r="B33" s="61" t="s">
        <v>155</v>
      </c>
      <c r="C33" s="60" t="n">
        <v>2</v>
      </c>
    </row>
    <row r="34" customFormat="false" ht="15" hidden="false" customHeight="false" outlineLevel="0" collapsed="false">
      <c r="B34" s="59" t="s">
        <v>156</v>
      </c>
      <c r="C34" s="60" t="n">
        <v>10</v>
      </c>
    </row>
    <row r="35" customFormat="false" ht="30" hidden="false" customHeight="true" outlineLevel="0" collapsed="false">
      <c r="B35" s="61" t="s">
        <v>157</v>
      </c>
      <c r="C35" s="60" t="n">
        <v>200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34"/>
    <col collapsed="false" customWidth="true" hidden="false" outlineLevel="0" max="3" min="3" style="14" width="44"/>
    <col collapsed="false" customWidth="true" hidden="false" outlineLevel="0" max="4" min="4" style="14" width="14"/>
    <col collapsed="false" customWidth="true" hidden="false" outlineLevel="0" max="5" min="5" style="14" width="18"/>
    <col collapsed="false" customWidth="true" hidden="false" outlineLevel="0" max="6" min="6" style="14" width="16"/>
    <col collapsed="false" customWidth="true" hidden="false" outlineLevel="0" max="8" min="7" style="14" width="18"/>
    <col collapsed="false" customWidth="true" hidden="false" outlineLevel="0" max="9" min="9" style="14" width="24"/>
  </cols>
  <sheetData>
    <row r="2" customFormat="false" ht="19.7" hidden="false" customHeight="false" outlineLevel="0" collapsed="false">
      <c r="B2" s="54" t="s">
        <v>158</v>
      </c>
    </row>
    <row r="3" customFormat="false" ht="15" hidden="false" customHeight="false" outlineLevel="0" collapsed="false">
      <c r="B3" s="17" t="s">
        <v>159</v>
      </c>
    </row>
    <row r="6" customFormat="false" ht="45" hidden="false" customHeight="true" outlineLevel="0" collapsed="false">
      <c r="B6" s="64" t="s">
        <v>160</v>
      </c>
      <c r="C6" s="64" t="s">
        <v>161</v>
      </c>
      <c r="D6" s="64" t="s">
        <v>19</v>
      </c>
      <c r="E6" s="64" t="s">
        <v>162</v>
      </c>
      <c r="F6" s="64" t="s">
        <v>163</v>
      </c>
      <c r="G6" s="64" t="s">
        <v>164</v>
      </c>
      <c r="H6" s="64" t="s">
        <v>165</v>
      </c>
      <c r="I6" s="64" t="s">
        <v>166</v>
      </c>
    </row>
    <row r="8" customFormat="false" ht="15" hidden="false" customHeight="false" outlineLevel="0" collapsed="false">
      <c r="B8" s="59" t="s">
        <v>167</v>
      </c>
      <c r="C8" s="59" t="s">
        <v>168</v>
      </c>
      <c r="D8" s="60" t="s">
        <v>169</v>
      </c>
      <c r="E8" s="60" t="s">
        <v>170</v>
      </c>
      <c r="F8" s="60" t="s">
        <v>48</v>
      </c>
      <c r="G8" s="65" t="n">
        <v>-20</v>
      </c>
      <c r="H8" s="65" t="n">
        <v>22</v>
      </c>
      <c r="I8" s="60" t="str">
        <f aca="false">D8&amp;E8&amp;F8</f>
        <v>ManureOpenNo</v>
      </c>
    </row>
    <row r="9" customFormat="false" ht="15" hidden="false" customHeight="false" outlineLevel="0" collapsed="false">
      <c r="B9" s="59" t="s">
        <v>167</v>
      </c>
      <c r="C9" s="59" t="s">
        <v>171</v>
      </c>
      <c r="D9" s="60" t="s">
        <v>169</v>
      </c>
      <c r="E9" s="60" t="s">
        <v>170</v>
      </c>
      <c r="F9" s="60" t="s">
        <v>35</v>
      </c>
      <c r="G9" s="65" t="n">
        <v>-35</v>
      </c>
      <c r="H9" s="65" t="n">
        <v>1</v>
      </c>
      <c r="I9" s="60" t="str">
        <f aca="false">D9&amp;E9&amp;F9</f>
        <v>ManureOpenYes</v>
      </c>
    </row>
    <row r="10" customFormat="false" ht="15" hidden="false" customHeight="false" outlineLevel="0" collapsed="false">
      <c r="B10" s="59" t="s">
        <v>167</v>
      </c>
      <c r="C10" s="59" t="s">
        <v>172</v>
      </c>
      <c r="D10" s="60" t="s">
        <v>169</v>
      </c>
      <c r="E10" s="60" t="s">
        <v>32</v>
      </c>
      <c r="F10" s="60" t="s">
        <v>48</v>
      </c>
      <c r="G10" s="65" t="n">
        <v>-88</v>
      </c>
      <c r="H10" s="65" t="n">
        <v>-79</v>
      </c>
      <c r="I10" s="60" t="str">
        <f aca="false">D10&amp;E10&amp;F10</f>
        <v>ManureClosedNo</v>
      </c>
    </row>
    <row r="11" customFormat="false" ht="15" hidden="false" customHeight="false" outlineLevel="0" collapsed="false">
      <c r="B11" s="59" t="s">
        <v>167</v>
      </c>
      <c r="C11" s="59" t="s">
        <v>173</v>
      </c>
      <c r="D11" s="60" t="s">
        <v>169</v>
      </c>
      <c r="E11" s="60" t="s">
        <v>32</v>
      </c>
      <c r="F11" s="60" t="s">
        <v>35</v>
      </c>
      <c r="G11" s="65" t="n">
        <v>-103</v>
      </c>
      <c r="H11" s="65" t="n">
        <v>-100</v>
      </c>
      <c r="I11" s="60" t="str">
        <f aca="false">D11&amp;E11&amp;F11</f>
        <v>ManureClosedYes</v>
      </c>
    </row>
    <row r="12" customFormat="false" ht="15" hidden="false" customHeight="false" outlineLevel="0" collapsed="false">
      <c r="B12" s="59" t="s">
        <v>174</v>
      </c>
      <c r="C12" s="59" t="s">
        <v>168</v>
      </c>
      <c r="D12" s="60" t="s">
        <v>175</v>
      </c>
      <c r="E12" s="60" t="s">
        <v>170</v>
      </c>
      <c r="F12" s="60" t="s">
        <v>48</v>
      </c>
      <c r="G12" s="65" t="n">
        <v>58</v>
      </c>
      <c r="H12" s="65" t="n">
        <v>73</v>
      </c>
      <c r="I12" s="60" t="str">
        <f aca="false">D12&amp;E12&amp;F12</f>
        <v>MaizeOpenNo</v>
      </c>
    </row>
    <row r="13" customFormat="false" ht="15" hidden="false" customHeight="false" outlineLevel="0" collapsed="false">
      <c r="B13" s="59" t="s">
        <v>174</v>
      </c>
      <c r="C13" s="59" t="s">
        <v>171</v>
      </c>
      <c r="D13" s="60" t="s">
        <v>175</v>
      </c>
      <c r="E13" s="60" t="s">
        <v>170</v>
      </c>
      <c r="F13" s="60" t="s">
        <v>35</v>
      </c>
      <c r="G13" s="65" t="n">
        <v>43</v>
      </c>
      <c r="H13" s="65" t="n">
        <v>52</v>
      </c>
      <c r="I13" s="60" t="str">
        <f aca="false">D13&amp;E13&amp;F13</f>
        <v>MaizeOpenYes</v>
      </c>
    </row>
    <row r="14" customFormat="false" ht="15" hidden="false" customHeight="false" outlineLevel="0" collapsed="false">
      <c r="B14" s="59" t="s">
        <v>174</v>
      </c>
      <c r="C14" s="59" t="s">
        <v>172</v>
      </c>
      <c r="D14" s="60" t="s">
        <v>175</v>
      </c>
      <c r="E14" s="60" t="s">
        <v>32</v>
      </c>
      <c r="F14" s="60" t="s">
        <v>48</v>
      </c>
      <c r="G14" s="65" t="n">
        <v>41</v>
      </c>
      <c r="H14" s="65" t="n">
        <v>51</v>
      </c>
      <c r="I14" s="60" t="str">
        <f aca="false">D14&amp;E14&amp;F14</f>
        <v>MaizeClosedNo</v>
      </c>
    </row>
    <row r="15" customFormat="false" ht="15" hidden="false" customHeight="false" outlineLevel="0" collapsed="false">
      <c r="B15" s="59" t="s">
        <v>174</v>
      </c>
      <c r="C15" s="59" t="s">
        <v>173</v>
      </c>
      <c r="D15" s="60" t="s">
        <v>175</v>
      </c>
      <c r="E15" s="60" t="s">
        <v>32</v>
      </c>
      <c r="F15" s="60" t="s">
        <v>35</v>
      </c>
      <c r="G15" s="65" t="n">
        <v>26</v>
      </c>
      <c r="H15" s="65" t="n">
        <v>30</v>
      </c>
      <c r="I15" s="60" t="str">
        <f aca="false">D15&amp;E15&amp;F15</f>
        <v>MaizeClosedYes</v>
      </c>
    </row>
    <row r="16" customFormat="false" ht="15" hidden="false" customHeight="false" outlineLevel="0" collapsed="false">
      <c r="B16" s="59" t="s">
        <v>176</v>
      </c>
      <c r="C16" s="59" t="s">
        <v>168</v>
      </c>
      <c r="D16" s="60" t="s">
        <v>27</v>
      </c>
      <c r="E16" s="60" t="s">
        <v>170</v>
      </c>
      <c r="F16" s="60" t="s">
        <v>48</v>
      </c>
      <c r="G16" s="65" t="n">
        <v>51</v>
      </c>
      <c r="H16" s="65" t="n">
        <v>71</v>
      </c>
      <c r="I16" s="60" t="str">
        <f aca="false">D16&amp;E16&amp;F16</f>
        <v>BiowasteOpenNo</v>
      </c>
    </row>
    <row r="17" customFormat="false" ht="15" hidden="false" customHeight="false" outlineLevel="0" collapsed="false">
      <c r="B17" s="59" t="s">
        <v>176</v>
      </c>
      <c r="C17" s="59" t="s">
        <v>171</v>
      </c>
      <c r="D17" s="60" t="s">
        <v>27</v>
      </c>
      <c r="E17" s="60" t="s">
        <v>170</v>
      </c>
      <c r="F17" s="60" t="s">
        <v>35</v>
      </c>
      <c r="G17" s="65" t="n">
        <v>36</v>
      </c>
      <c r="H17" s="65" t="n">
        <v>50</v>
      </c>
      <c r="I17" s="60" t="str">
        <f aca="false">D17&amp;E17&amp;F17</f>
        <v>BiowasteOpenYes</v>
      </c>
    </row>
    <row r="18" customFormat="false" ht="15" hidden="false" customHeight="false" outlineLevel="0" collapsed="false">
      <c r="B18" s="59" t="s">
        <v>176</v>
      </c>
      <c r="C18" s="59" t="s">
        <v>172</v>
      </c>
      <c r="D18" s="60" t="s">
        <v>27</v>
      </c>
      <c r="E18" s="60" t="s">
        <v>32</v>
      </c>
      <c r="F18" s="60" t="s">
        <v>48</v>
      </c>
      <c r="G18" s="65" t="n">
        <v>25</v>
      </c>
      <c r="H18" s="65" t="n">
        <v>35</v>
      </c>
      <c r="I18" s="60" t="str">
        <f aca="false">D18&amp;E18&amp;F18</f>
        <v>BiowasteClosedNo</v>
      </c>
    </row>
    <row r="19" customFormat="false" ht="15" hidden="false" customHeight="false" outlineLevel="0" collapsed="false">
      <c r="B19" s="59" t="s">
        <v>176</v>
      </c>
      <c r="C19" s="59" t="s">
        <v>173</v>
      </c>
      <c r="D19" s="60" t="s">
        <v>27</v>
      </c>
      <c r="E19" s="60" t="s">
        <v>32</v>
      </c>
      <c r="F19" s="60" t="s">
        <v>35</v>
      </c>
      <c r="G19" s="65" t="n">
        <v>10</v>
      </c>
      <c r="H19" s="65" t="n">
        <v>14</v>
      </c>
      <c r="I19" s="60" t="str">
        <f aca="false">D19&amp;E19&amp;F19</f>
        <v>BiowasteClosedYes</v>
      </c>
    </row>
    <row r="22" customFormat="false" ht="15" hidden="false" customHeight="false" outlineLevel="0" collapsed="false">
      <c r="B22" s="58" t="s">
        <v>177</v>
      </c>
    </row>
    <row r="23" customFormat="false" ht="31.5" hidden="false" customHeight="true" outlineLevel="0" collapsed="false">
      <c r="B23" s="64" t="s">
        <v>19</v>
      </c>
      <c r="C23" s="64" t="s">
        <v>178</v>
      </c>
      <c r="D23" s="64" t="s">
        <v>179</v>
      </c>
    </row>
    <row r="24" customFormat="false" ht="15" hidden="false" customHeight="false" outlineLevel="0" collapsed="false">
      <c r="B24" s="59" t="s">
        <v>169</v>
      </c>
      <c r="C24" s="66" t="n">
        <v>0.5</v>
      </c>
      <c r="D24" s="66" t="n">
        <v>0.9</v>
      </c>
    </row>
    <row r="25" customFormat="false" ht="15" hidden="false" customHeight="false" outlineLevel="0" collapsed="false">
      <c r="B25" s="59" t="s">
        <v>175</v>
      </c>
      <c r="C25" s="66" t="n">
        <v>4.16</v>
      </c>
      <c r="D25" s="66" t="n">
        <v>0.65</v>
      </c>
    </row>
    <row r="26" customFormat="false" ht="15" hidden="false" customHeight="false" outlineLevel="0" collapsed="false">
      <c r="B26" s="59" t="s">
        <v>27</v>
      </c>
      <c r="C26" s="66" t="n">
        <v>3.41</v>
      </c>
      <c r="D26" s="66" t="n">
        <v>0.76</v>
      </c>
    </row>
    <row r="28" customFormat="false" ht="15" hidden="false" customHeight="false" outlineLevel="0" collapsed="false">
      <c r="B28" s="58" t="s">
        <v>180</v>
      </c>
    </row>
    <row r="29" customFormat="false" ht="15" hidden="false" customHeight="false" outlineLevel="0" collapsed="false">
      <c r="B29" s="59" t="s">
        <v>181</v>
      </c>
      <c r="C29" s="67" t="n">
        <v>3.3</v>
      </c>
    </row>
    <row r="30" customFormat="false" ht="15" hidden="false" customHeight="false" outlineLevel="0" collapsed="false">
      <c r="B30" s="59" t="s">
        <v>182</v>
      </c>
      <c r="C30" s="67" t="n">
        <v>4.6</v>
      </c>
    </row>
    <row r="32" customFormat="false" ht="15" hidden="false" customHeight="false" outlineLevel="0" collapsed="false">
      <c r="B32" s="58" t="s">
        <v>183</v>
      </c>
    </row>
    <row r="33" customFormat="false" ht="15" hidden="false" customHeight="false" outlineLevel="0" collapsed="false">
      <c r="B33" s="59" t="s">
        <v>184</v>
      </c>
      <c r="C33" s="60" t="n">
        <v>1</v>
      </c>
    </row>
    <row r="34" customFormat="false" ht="15" hidden="false" customHeight="false" outlineLevel="0" collapsed="false">
      <c r="B34" s="59" t="s">
        <v>185</v>
      </c>
      <c r="C34" s="68" t="n">
        <v>0.3546</v>
      </c>
    </row>
    <row r="35" customFormat="false" ht="15" hidden="false" customHeight="false" outlineLevel="0" collapsed="false">
      <c r="B35" s="59" t="s">
        <v>186</v>
      </c>
      <c r="C35" s="66" t="n">
        <v>273.15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52"/>
    <col collapsed="false" customWidth="true" hidden="false" outlineLevel="0" max="3" min="3" style="14" width="22"/>
    <col collapsed="false" customWidth="true" hidden="false" outlineLevel="0" max="4" min="4" style="14" width="16"/>
    <col collapsed="false" customWidth="true" hidden="false" outlineLevel="0" max="5" min="5" style="14" width="14"/>
    <col collapsed="false" customWidth="true" hidden="false" outlineLevel="0" max="12" min="6" style="14" width="12"/>
  </cols>
  <sheetData>
    <row r="2" customFormat="false" ht="19.7" hidden="false" customHeight="false" outlineLevel="0" collapsed="false">
      <c r="B2" s="54" t="s">
        <v>187</v>
      </c>
    </row>
    <row r="5" customFormat="false" ht="15" hidden="false" customHeight="false" outlineLevel="0" collapsed="false">
      <c r="B5" s="55" t="s">
        <v>19</v>
      </c>
      <c r="C5" s="55" t="s">
        <v>188</v>
      </c>
      <c r="D5" s="55" t="s">
        <v>189</v>
      </c>
      <c r="E5" s="55" t="s">
        <v>190</v>
      </c>
      <c r="F5" s="55" t="s">
        <v>191</v>
      </c>
      <c r="G5" s="55" t="s">
        <v>192</v>
      </c>
      <c r="H5" s="55" t="s">
        <v>193</v>
      </c>
      <c r="I5" s="55" t="s">
        <v>194</v>
      </c>
      <c r="J5" s="55" t="s">
        <v>195</v>
      </c>
      <c r="K5" s="55" t="s">
        <v>196</v>
      </c>
      <c r="L5" s="55" t="s">
        <v>197</v>
      </c>
    </row>
    <row r="6" customFormat="false" ht="15" hidden="false" customHeight="false" outlineLevel="0" collapsed="false">
      <c r="B6" s="59" t="s">
        <v>169</v>
      </c>
      <c r="C6" s="60" t="str">
        <f aca="false">B6&amp;Input!$E$18&amp;Input!$E$19</f>
        <v>ManureClosedYes</v>
      </c>
      <c r="D6" s="65" t="n">
        <f aca="false">IF(Input!$E$20=Lists!$F$5,INDEX(REDIII!$H$8:$H$19,MATCH(C6,REDIII!$I$8:$I$19,0)),INDEX(REDIII!$G$8:$G$19,MATCH(C6,REDIII!$I$8:$I$19,0)))</f>
        <v>-100</v>
      </c>
      <c r="E6" s="69" t="n">
        <f aca="false">MAX(0,N(Input!E9))</f>
        <v>8000</v>
      </c>
      <c r="F6" s="70" t="n">
        <f aca="false">IF(Input!F9="",G6,Input!F9/100)</f>
        <v>0.9</v>
      </c>
      <c r="G6" s="66" t="n">
        <f aca="false">REDIII!D24</f>
        <v>0.9</v>
      </c>
      <c r="H6" s="66" t="n">
        <f aca="false">REDIII!C24</f>
        <v>0.5</v>
      </c>
      <c r="I6" s="68" t="n">
        <f aca="false">IF($C$12&gt;0,E6/$C$12*(1-F6)/(1-G6),0)</f>
        <v>0.8</v>
      </c>
      <c r="J6" s="68" t="n">
        <f aca="false">H6*I6</f>
        <v>0.4</v>
      </c>
      <c r="K6" s="68" t="n">
        <f aca="false">IF($C$13&gt;0,J6/$C$13,0)</f>
        <v>0.324675324675325</v>
      </c>
      <c r="L6" s="66" t="n">
        <f aca="false">K6*D6</f>
        <v>-32.4675324675325</v>
      </c>
    </row>
    <row r="7" customFormat="false" ht="15" hidden="false" customHeight="false" outlineLevel="0" collapsed="false">
      <c r="B7" s="59" t="s">
        <v>175</v>
      </c>
      <c r="C7" s="60" t="str">
        <f aca="false">B7&amp;Input!$E$18&amp;Input!$E$19</f>
        <v>MaizeClosedYes</v>
      </c>
      <c r="D7" s="65" t="n">
        <f aca="false">IF(Input!$E$20=Lists!$F$5,INDEX(REDIII!$H$8:$H$19,MATCH(C7,REDIII!$I$8:$I$19,0)),INDEX(REDIII!$G$8:$G$19,MATCH(C7,REDIII!$I$8:$I$19,0)))</f>
        <v>30</v>
      </c>
      <c r="E7" s="69" t="n">
        <f aca="false">MAX(0,N(Input!E10))</f>
        <v>2000</v>
      </c>
      <c r="F7" s="70" t="n">
        <f aca="false">IF(Input!F10="",G7,Input!F10/100)</f>
        <v>0.65</v>
      </c>
      <c r="G7" s="66" t="n">
        <f aca="false">REDIII!D25</f>
        <v>0.65</v>
      </c>
      <c r="H7" s="66" t="n">
        <f aca="false">REDIII!C25</f>
        <v>4.16</v>
      </c>
      <c r="I7" s="68" t="n">
        <f aca="false">IF($C$12&gt;0,E7/$C$12*(1-F7)/(1-G7),0)</f>
        <v>0.2</v>
      </c>
      <c r="J7" s="68" t="n">
        <f aca="false">H7*I7</f>
        <v>0.832</v>
      </c>
      <c r="K7" s="68" t="n">
        <f aca="false">IF($C$13&gt;0,J7/$C$13,0)</f>
        <v>0.675324675324675</v>
      </c>
      <c r="L7" s="66" t="n">
        <f aca="false">K7*D7</f>
        <v>20.2597402597403</v>
      </c>
    </row>
    <row r="8" customFormat="false" ht="15" hidden="false" customHeight="false" outlineLevel="0" collapsed="false">
      <c r="B8" s="59" t="s">
        <v>27</v>
      </c>
      <c r="C8" s="60" t="str">
        <f aca="false">B8&amp;Input!$E$18&amp;Input!$E$19</f>
        <v>BiowasteClosedYes</v>
      </c>
      <c r="D8" s="65" t="n">
        <f aca="false">IF(Input!$E$20=Lists!$F$5,INDEX(REDIII!$H$8:$H$19,MATCH(C8,REDIII!$I$8:$I$19,0)),INDEX(REDIII!$G$8:$G$19,MATCH(C8,REDIII!$I$8:$I$19,0)))</f>
        <v>14</v>
      </c>
      <c r="E8" s="69" t="n">
        <f aca="false">MAX(0,N(Input!E11))</f>
        <v>0</v>
      </c>
      <c r="F8" s="70" t="n">
        <f aca="false">IF(Input!F11="",G8,Input!F11/100)</f>
        <v>0.76</v>
      </c>
      <c r="G8" s="66" t="n">
        <f aca="false">REDIII!D26</f>
        <v>0.76</v>
      </c>
      <c r="H8" s="66" t="n">
        <f aca="false">REDIII!C26</f>
        <v>3.41</v>
      </c>
      <c r="I8" s="68" t="n">
        <f aca="false">IF($C$12&gt;0,E8/$C$12*(1-F8)/(1-G8),0)</f>
        <v>0</v>
      </c>
      <c r="J8" s="68" t="n">
        <f aca="false">H8*I8</f>
        <v>0</v>
      </c>
      <c r="K8" s="68" t="n">
        <f aca="false">IF($C$13&gt;0,J8/$C$13,0)</f>
        <v>0</v>
      </c>
      <c r="L8" s="66" t="n">
        <f aca="false">K8*D8</f>
        <v>0</v>
      </c>
    </row>
    <row r="12" customFormat="false" ht="15" hidden="false" customHeight="false" outlineLevel="0" collapsed="false">
      <c r="B12" s="59" t="s">
        <v>198</v>
      </c>
      <c r="C12" s="69" t="n">
        <f aca="false">SUM(E6:E8)</f>
        <v>10000</v>
      </c>
    </row>
    <row r="13" customFormat="false" ht="15" hidden="false" customHeight="false" outlineLevel="0" collapsed="false">
      <c r="B13" s="59" t="s">
        <v>199</v>
      </c>
      <c r="C13" s="68" t="n">
        <f aca="false">SUM(J6:J8)</f>
        <v>1.232</v>
      </c>
    </row>
    <row r="14" customFormat="false" ht="15" hidden="false" customHeight="false" outlineLevel="0" collapsed="false">
      <c r="B14" s="59" t="s">
        <v>200</v>
      </c>
      <c r="C14" s="66" t="n">
        <f aca="false">IF(C13&gt;0,SUM(L6:L8),"")</f>
        <v>-12.2077922077922</v>
      </c>
      <c r="D14" s="71" t="s">
        <v>85</v>
      </c>
    </row>
    <row r="15" customFormat="false" ht="15" hidden="false" customHeight="false" outlineLevel="0" collapsed="false">
      <c r="B15" s="59" t="s">
        <v>201</v>
      </c>
      <c r="C15" s="67" t="n">
        <f aca="false">IF(C40,IF(Input!$E$20=Lists!$F$5,REDIII!C30,REDIII!C29),0)</f>
        <v>0</v>
      </c>
      <c r="D15" s="71" t="s">
        <v>89</v>
      </c>
    </row>
    <row r="16" customFormat="false" ht="15" hidden="false" customHeight="false" outlineLevel="0" collapsed="false">
      <c r="B16" s="59" t="s">
        <v>202</v>
      </c>
      <c r="C16" s="66" t="n">
        <f aca="false">IF(ISNUMBER(C14),C14+C15,"")</f>
        <v>-12.2077922077922</v>
      </c>
    </row>
    <row r="18" customFormat="false" ht="15" hidden="false" customHeight="false" outlineLevel="0" collapsed="false">
      <c r="B18" s="59" t="s">
        <v>203</v>
      </c>
      <c r="C18" s="70" t="n">
        <f aca="false">N(Input!E27)/100</f>
        <v>0.4</v>
      </c>
    </row>
    <row r="19" customFormat="false" ht="15" hidden="false" customHeight="false" outlineLevel="0" collapsed="false">
      <c r="B19" s="59" t="s">
        <v>204</v>
      </c>
      <c r="C19" s="70" t="n">
        <f aca="false">IF(C42,N(Input!E29),N(Input!E28))/100</f>
        <v>0.45</v>
      </c>
    </row>
    <row r="20" customFormat="false" ht="15" hidden="false" customHeight="false" outlineLevel="0" collapsed="false">
      <c r="B20" s="59" t="s">
        <v>205</v>
      </c>
      <c r="C20" s="66" t="n">
        <f aca="false">N(Input!E30)+REDIII!C35</f>
        <v>363.15</v>
      </c>
    </row>
    <row r="21" customFormat="false" ht="15" hidden="false" customHeight="false" outlineLevel="0" collapsed="false">
      <c r="B21" s="59" t="s">
        <v>206</v>
      </c>
      <c r="C21" s="68" t="n">
        <f aca="false">IF(AND(Input!E31="Yes",N(Input!E30)&lt;150),REDIII!C34,IF(C20&gt;REDIII!C35,(C20-REDIII!C35)/C20,0))</f>
        <v>0.247831474597274</v>
      </c>
      <c r="D21" s="71" t="s">
        <v>207</v>
      </c>
    </row>
    <row r="22" customFormat="false" ht="15" hidden="false" customHeight="false" outlineLevel="0" collapsed="false">
      <c r="B22" s="59" t="s">
        <v>208</v>
      </c>
      <c r="C22" s="68" t="n">
        <f aca="false">IF(REDIII!C33*C18+C21*C19&gt;0,REDIII!C33*C18/(REDIII!C33*C18+C21*C19),0)</f>
        <v>0.781976744186047</v>
      </c>
    </row>
    <row r="23" customFormat="false" ht="15" hidden="false" customHeight="false" outlineLevel="0" collapsed="false">
      <c r="B23" s="59" t="s">
        <v>209</v>
      </c>
      <c r="C23" s="68" t="n">
        <f aca="false">IF(REDIII!C33*C18+C21*C19&gt;0,C21*C19/(REDIII!C33*C18+C21*C19),0)</f>
        <v>0.218023255813954</v>
      </c>
    </row>
    <row r="24" customFormat="false" ht="15" hidden="false" customHeight="false" outlineLevel="0" collapsed="false">
      <c r="B24" s="59" t="s">
        <v>210</v>
      </c>
      <c r="C24" s="66" t="n">
        <f aca="false">IF(AND(C18&gt;0,ISNUMBER(C16)),IF(C41,C16/C18,IF(C43,C16/C18*C22,"")),"")</f>
        <v>-23.8655240108728</v>
      </c>
    </row>
    <row r="25" customFormat="false" ht="15" hidden="false" customHeight="false" outlineLevel="0" collapsed="false">
      <c r="B25" s="59" t="s">
        <v>211</v>
      </c>
      <c r="C25" s="66" t="n">
        <f aca="false">IF(AND(C19&gt;0,ISNUMBER(C16)),IF(C42,C16/C19,IF(C43,C16/C19*C23,"")),"")</f>
        <v>-5.91462800765126</v>
      </c>
    </row>
    <row r="27" customFormat="false" ht="15" hidden="false" customHeight="false" outlineLevel="0" collapsed="false">
      <c r="B27" s="59" t="s">
        <v>212</v>
      </c>
      <c r="C27" s="65" t="n">
        <f aca="false">Limits!C5</f>
        <v>94</v>
      </c>
    </row>
    <row r="28" customFormat="false" ht="15" hidden="false" customHeight="false" outlineLevel="0" collapsed="false">
      <c r="B28" s="59" t="s">
        <v>213</v>
      </c>
      <c r="C28" s="65" t="n">
        <f aca="false">Limits!C6</f>
        <v>183</v>
      </c>
    </row>
    <row r="29" customFormat="false" ht="15" hidden="false" customHeight="false" outlineLevel="0" collapsed="false">
      <c r="B29" s="59" t="s">
        <v>214</v>
      </c>
      <c r="C29" s="65" t="n">
        <f aca="false">IF(Input!E32="Yes",Limits!C8,Limits!C7)</f>
        <v>80</v>
      </c>
    </row>
    <row r="31" customFormat="false" ht="15" hidden="false" customHeight="false" outlineLevel="0" collapsed="false">
      <c r="B31" s="59" t="s">
        <v>215</v>
      </c>
      <c r="C31" s="63" t="n">
        <f aca="false">Input!E36</f>
        <v>45352</v>
      </c>
    </row>
    <row r="32" customFormat="false" ht="15" hidden="false" customHeight="false" outlineLevel="0" collapsed="false">
      <c r="B32" s="59" t="s">
        <v>216</v>
      </c>
      <c r="C32" s="67" t="n">
        <f aca="false">N(Input!E37)</f>
        <v>5</v>
      </c>
    </row>
    <row r="33" customFormat="false" ht="15" hidden="false" customHeight="false" outlineLevel="0" collapsed="false">
      <c r="B33" s="59" t="s">
        <v>55</v>
      </c>
      <c r="C33" s="63" t="n">
        <f aca="true">IF(Input!E39="",TODAY(),Input!E39)</f>
        <v>46304</v>
      </c>
    </row>
    <row r="34" customFormat="false" ht="15" hidden="false" customHeight="false" outlineLevel="0" collapsed="false">
      <c r="B34" s="59" t="s">
        <v>217</v>
      </c>
      <c r="C34" s="63" t="n">
        <f aca="false">IF(C31="","",EDATE(C31,180))</f>
        <v>50830</v>
      </c>
    </row>
    <row r="35" customFormat="false" ht="15" hidden="false" customHeight="false" outlineLevel="0" collapsed="false">
      <c r="B35" s="59" t="s">
        <v>218</v>
      </c>
      <c r="C35" s="62" t="n">
        <f aca="false">IF(C31="","",IF(C31&lt;=Limits!C24,Limits!D12,IF(C31&lt;=Limits!C25,Limits!D13,Limits!D14)))</f>
        <v>0.65</v>
      </c>
    </row>
    <row r="36" customFormat="false" ht="15" hidden="false" customHeight="false" outlineLevel="0" collapsed="false">
      <c r="B36" s="59" t="s">
        <v>219</v>
      </c>
      <c r="C36" s="60" t="str">
        <f aca="false">IF(C31="","",IF(C31&lt;=Limits!C24,"a",IF(C31&lt;=Limits!C25,"b","c")))</f>
        <v>c</v>
      </c>
    </row>
    <row r="37" customFormat="false" ht="15" hidden="false" customHeight="false" outlineLevel="0" collapsed="false">
      <c r="B37" s="59" t="s">
        <v>220</v>
      </c>
      <c r="C37" s="60" t="str">
        <f aca="false">IF(C31="","",IF(C31&gt;Limits!C27,"d",IF(C31&gt;=Limits!C26,IF(C32&gt;=Limits!C34,"e","f"),IF(C32&gt;=Limits!C34,"g","h"))))</f>
        <v>d</v>
      </c>
    </row>
    <row r="38" customFormat="false" ht="15" hidden="false" customHeight="false" outlineLevel="0" collapsed="false">
      <c r="B38" s="59" t="s">
        <v>221</v>
      </c>
      <c r="C38" s="63" t="str">
        <f aca="false">IF(C37="e",Limits!C28+1,IF(C37="f",C34,IF(C37="g",MIN(MAX(C34,Limits!C29),Limits!C30),IF(C37="h",MAX(C34,Limits!C29),""))))</f>
        <v/>
      </c>
    </row>
    <row r="39" customFormat="false" ht="15" hidden="false" customHeight="false" outlineLevel="0" collapsed="false">
      <c r="B39" s="59" t="s">
        <v>222</v>
      </c>
      <c r="C39" s="62" t="n">
        <f aca="false">IF(C37="","",IF(C37="d",Limits!D15,IF(OR(C37="e",C37="f"),IF(C33&gt;=C38,Limits!D21,Limits!D16),IF(C33&gt;=C38,Limits!D21,"none"))))</f>
        <v>0.8</v>
      </c>
      <c r="D39" s="71" t="s">
        <v>223</v>
      </c>
    </row>
    <row r="40" customFormat="false" ht="15" hidden="false" customHeight="false" outlineLevel="0" collapsed="false">
      <c r="B40" s="59" t="s">
        <v>224</v>
      </c>
      <c r="C40" s="72" t="b">
        <f aca="false">Input!E26=Lists!$H$5</f>
        <v>0</v>
      </c>
    </row>
    <row r="41" customFormat="false" ht="15" hidden="false" customHeight="false" outlineLevel="0" collapsed="false">
      <c r="B41" s="59" t="s">
        <v>225</v>
      </c>
      <c r="C41" s="72" t="b">
        <f aca="false">Input!E26=Lists!$H$6</f>
        <v>0</v>
      </c>
    </row>
    <row r="42" customFormat="false" ht="15" hidden="false" customHeight="false" outlineLevel="0" collapsed="false">
      <c r="B42" s="59" t="s">
        <v>226</v>
      </c>
      <c r="C42" s="72" t="b">
        <f aca="false">Input!E26=Lists!$H$7</f>
        <v>0</v>
      </c>
    </row>
    <row r="43" customFormat="false" ht="15" hidden="false" customHeight="false" outlineLevel="0" collapsed="false">
      <c r="B43" s="59" t="s">
        <v>227</v>
      </c>
      <c r="C43" s="72" t="b">
        <f aca="false">Input!E26=Lists!$H$8</f>
        <v>1</v>
      </c>
    </row>
    <row r="44" customFormat="false" ht="15" hidden="false" customHeight="false" outlineLevel="0" collapsed="false">
      <c r="B44" s="59" t="s">
        <v>228</v>
      </c>
      <c r="C44" s="72" t="b">
        <f aca="false">OR(Input!E21="Yes",E7=0)</f>
        <v>1</v>
      </c>
      <c r="D44" s="71" t="s">
        <v>229</v>
      </c>
    </row>
    <row r="45" customFormat="false" ht="15" hidden="false" customHeight="false" outlineLevel="0" collapsed="false">
      <c r="B45" s="59" t="s">
        <v>230</v>
      </c>
      <c r="C45" s="72" t="b">
        <f aca="false">Input!E20=Lists!$F$5</f>
        <v>1</v>
      </c>
    </row>
    <row r="46" customFormat="false" ht="15" hidden="false" customHeight="false" outlineLevel="0" collapsed="false">
      <c r="B46" s="59" t="s">
        <v>231</v>
      </c>
      <c r="C46" s="72" t="b">
        <f aca="false">C32&gt;=Limits!C33</f>
        <v>1</v>
      </c>
      <c r="D46" s="71" t="s">
        <v>232</v>
      </c>
    </row>
    <row r="47" customFormat="false" ht="15" hidden="false" customHeight="false" outlineLevel="0" collapsed="false">
      <c r="B47" s="59" t="s">
        <v>233</v>
      </c>
      <c r="C47" s="72" t="b">
        <f aca="false">N(Input!E38)&gt;Limits!C35</f>
        <v>1</v>
      </c>
      <c r="D47" s="71" t="s">
        <v>234</v>
      </c>
    </row>
    <row r="49" customFormat="false" ht="15" hidden="false" customHeight="false" outlineLevel="0" collapsed="false">
      <c r="B49" s="55" t="s">
        <v>235</v>
      </c>
      <c r="C49" s="55" t="s">
        <v>236</v>
      </c>
      <c r="D49" s="55" t="s">
        <v>237</v>
      </c>
      <c r="E49" s="55" t="s">
        <v>238</v>
      </c>
      <c r="F49" s="55" t="s">
        <v>239</v>
      </c>
      <c r="G49" s="55" t="s">
        <v>123</v>
      </c>
      <c r="H49" s="55" t="s">
        <v>63</v>
      </c>
    </row>
    <row r="50" customFormat="false" ht="15" hidden="false" customHeight="false" outlineLevel="0" collapsed="false">
      <c r="B50" s="59" t="s">
        <v>240</v>
      </c>
      <c r="C50" s="72" t="b">
        <f aca="false">C40</f>
        <v>0</v>
      </c>
      <c r="D50" s="67" t="str">
        <f aca="false">IF(AND(C50,ISNUMBER(C16)),C16,"–")</f>
        <v>–</v>
      </c>
      <c r="E50" s="65" t="str">
        <f aca="false">IF(C50,C27,"–")</f>
        <v>–</v>
      </c>
      <c r="F50" s="73" t="str">
        <f aca="false">IF(ISNUMBER(D50),(E50-D50)/E50,"–")</f>
        <v>–</v>
      </c>
      <c r="G50" s="62" t="str">
        <f aca="false">IF(C50,IFERROR(C35,"–"),"–")</f>
        <v>–</v>
      </c>
      <c r="H50" s="60" t="str">
        <f aca="false">IF(NOT(C50),"–",IF(NOT(ISNUMBER(F50)),"Inputs incomplete",IF(G50="none","no minimum saving on the reference date",IF(NOT(ISNUMBER(G50)),"Commissioning date missing",IF(F50&gt;=G50,"met","not met")&amp;IF(NOT($C$45)," (indicative only)",IF(NOT($C$44)," (default value not permitted)",""))))))</f>
        <v>–</v>
      </c>
    </row>
    <row r="51" customFormat="false" ht="15" hidden="false" customHeight="false" outlineLevel="0" collapsed="false">
      <c r="B51" s="59" t="s">
        <v>65</v>
      </c>
      <c r="C51" s="72" t="b">
        <f aca="false">OR(C41,C43)</f>
        <v>1</v>
      </c>
      <c r="D51" s="67" t="n">
        <f aca="false">IF(AND(C51,ISNUMBER(C24)),C24,"–")</f>
        <v>-23.8655240108728</v>
      </c>
      <c r="E51" s="65" t="n">
        <f aca="false">IF(C51,C28,"–")</f>
        <v>183</v>
      </c>
      <c r="F51" s="73" t="n">
        <f aca="false">IF(ISNUMBER(D51),(E51-D51)/E51,"–")</f>
        <v>1.13041269951297</v>
      </c>
      <c r="G51" s="62" t="n">
        <f aca="false">IF(C51,IFERROR(C39,"–"),"–")</f>
        <v>0.8</v>
      </c>
      <c r="H51" s="60" t="str">
        <f aca="false">IF(NOT(C51),"–",IF(NOT(ISNUMBER(F51)),"Inputs incomplete",IF(G51="none","no minimum saving on the reference date",IF(NOT(ISNUMBER(G51)),"Commissioning date missing",IF(F51&gt;=G51,"met","not met")&amp;IF(NOT($C$45)," (indicative only)",IF(NOT($C$44)," (default value not permitted)",""))))))</f>
        <v>met</v>
      </c>
    </row>
    <row r="52" customFormat="false" ht="15" hidden="false" customHeight="false" outlineLevel="0" collapsed="false">
      <c r="B52" s="59" t="s">
        <v>241</v>
      </c>
      <c r="C52" s="72" t="b">
        <f aca="false">OR(C42,C43)</f>
        <v>1</v>
      </c>
      <c r="D52" s="67" t="n">
        <f aca="false">IF(AND(C52,ISNUMBER(C25)),C25,"–")</f>
        <v>-5.91462800765126</v>
      </c>
      <c r="E52" s="65" t="n">
        <f aca="false">IF(C52,C29,"–")</f>
        <v>80</v>
      </c>
      <c r="F52" s="73" t="n">
        <f aca="false">IF(ISNUMBER(D52),(E52-D52)/E52,"–")</f>
        <v>1.07393285009564</v>
      </c>
      <c r="G52" s="62" t="n">
        <f aca="false">IF(C52,IFERROR(C39,"–"),"–")</f>
        <v>0.8</v>
      </c>
      <c r="H52" s="60" t="str">
        <f aca="false">IF(NOT(C52),"–",IF(NOT(ISNUMBER(F52)),"Inputs incomplete",IF(G52="none","no minimum saving on the reference date",IF(NOT(ISNUMBER(G52)),"Commissioning date missing",IF(F52&gt;=G52,"met","not met")&amp;IF(NOT($C$45)," (indicative only)",IF(NOT($C$44)," (default value not permitted)",""))))))</f>
        <v>met</v>
      </c>
    </row>
    <row r="60" customFormat="false" ht="15" hidden="false" customHeight="false" outlineLevel="0" collapsed="false">
      <c r="B60" s="74" t="s">
        <v>242</v>
      </c>
      <c r="C60" s="75" t="str">
        <f aca="false">IF(ISNUMBER(C16),"GHG emissions: "&amp;FIXED(C16,1)&amp;" g CO2eq/MJ biomethane"&amp;IF(ISNUMBER(F50)," | Saving transport: "&amp;FIXED(F50*100,1)&amp;" %","")&amp;IF(ISNUMBER(F51)," | Saving electricity: "&amp;FIXED(F51*100,1)&amp;" %","")&amp;IF(ISNUMBER(F52)," | Saving heat: "&amp;FIXED(F52*100,1)&amp;" %",""),"Please complete the inputs in Section 1.")</f>
        <v>GHG emissions: -12.2 g CO2eq/MJ biomethane | Saving electricity: 113.0 % | Saving heat: 107.4 %</v>
      </c>
    </row>
    <row r="61" customFormat="false" ht="15" hidden="false" customHeight="false" outlineLevel="0" collapsed="false">
      <c r="B61" s="74" t="s">
        <v>67</v>
      </c>
      <c r="C61" s="75" t="str">
        <f aca="false">IF(C31="","Please enter the commissioning date.",IF(C40,"Art. 29(10) point "&amp;C36&amp;": minimum saving "&amp;FIXED(C35*100,0)&amp;" % (transport, start of operation "&amp;RIGHT("0"&amp;DAY(C31),2)&amp;"."&amp;RIGHT("0"&amp;MONTH(C31),2)&amp;"."&amp;YEAR(C31)&amp;")","Art. 29(10) point "&amp;C37&amp;IF(C37="d",": 80 % from commissioning",IF(C37="e",": 70 % until 31.12.2029, 80 % from 01.01.2030",IF(C37="f",": 70 % until the end of the 15th year of operation, then 80 % (from "&amp;RIGHT("0"&amp;DAY(C38),2)&amp;"."&amp;RIGHT("0"&amp;MONTH(C38),2)&amp;"."&amp;YEAR(C38)&amp;")",": no minimum saving until "&amp;RIGHT("0"&amp;DAY(C38-1),2)&amp;"."&amp;RIGHT("0"&amp;MONTH(C38-1),2)&amp;"."&amp;YEAR(C38-1)&amp;", then 80 %")))))</f>
        <v>Art. 29(10) point d: 80 % from commissioning</v>
      </c>
    </row>
    <row r="62" customFormat="false" ht="15" hidden="false" customHeight="false" outlineLevel="0" collapsed="false">
      <c r="B62" s="74" t="s">
        <v>5</v>
      </c>
      <c r="C62" s="75" t="str">
        <f aca="false">IF(C40,"Transport: biomethane production plant "&amp;IF(N(Input!E38)=0,"– flow rate not specified (threshold 200 m³/h CH4 eq., point (c)).",IF(C47,"&gt; 200 m³/h CH4 eq.: covered by the criteria (point (c)).","≤ 200 m³/h CH4 eq.: not covered under point (c) – Member States may lay down stricter rules.")),IF(C46,"Utilisation plant ≥ 2 MW: covered by the criteria (point (b)).",IF(C47,"Utilisation plant &lt; 2 MW, but production plant &gt; 200 m³/h: covered via point (c).","Utilisation plant &lt; 2 MW (point (b)) and production plant not &gt; 200 m³/h: not covered, provided the capacity was entered correctly.")))</f>
        <v>Utilisation plant ≥ 2 MW: covered by the criteria (point (b)).</v>
      </c>
    </row>
    <row r="64" customFormat="false" ht="15" hidden="false" customHeight="false" outlineLevel="0" collapsed="false">
      <c r="B64" s="74" t="s">
        <v>243</v>
      </c>
    </row>
    <row r="65" customFormat="false" ht="15" hidden="false" customHeight="false" outlineLevel="0" collapsed="false">
      <c r="C65" s="75" t="str">
        <f aca="false">IF(C12&lt;=0,"Please enter at least one substrate quantity &gt; 0 in Section 1.","")</f>
        <v/>
      </c>
    </row>
    <row r="66" customFormat="false" ht="15" hidden="false" customHeight="false" outlineLevel="0" collapsed="false">
      <c r="C66" s="75" t="str">
        <f aca="false">IF(AND(OR(C41,C43),C18&lt;=0),"Please enter the electrical efficiency η_el.","")</f>
        <v/>
      </c>
    </row>
    <row r="67" customFormat="false" ht="15" hidden="false" customHeight="false" outlineLevel="0" collapsed="false">
      <c r="C67" s="75" t="str">
        <f aca="false">IF(AND(OR(C42,C43),C19&lt;=0),"Please enter the thermal efficiency η_h.","")</f>
        <v/>
      </c>
    </row>
    <row r="68" customFormat="false" ht="15" hidden="false" customHeight="false" outlineLevel="0" collapsed="false">
      <c r="C68" s="75" t="str">
        <f aca="false">IF(AND(C43,Input!E30="",Input!E31&lt;&gt;"Yes"),"Please enter the useful heat temperature (CHP allocation).","")</f>
        <v/>
      </c>
    </row>
    <row r="69" customFormat="false" ht="15" hidden="false" customHeight="false" outlineLevel="0" collapsed="false">
      <c r="C69" s="75" t="str">
        <f aca="false">IF(NOT(C45),"Typical values are for orientation only; for the proof under Art. 31(1)(a), the default value is decisive.","")</f>
        <v/>
      </c>
    </row>
    <row r="70" customFormat="false" ht="15" hidden="false" customHeight="false" outlineLevel="0" collapsed="false">
      <c r="C70" s="75" t="str">
        <f aca="false">IF(NOT(C44),"Default values may only be used if e_l ≤ 0 (Art. 31(1)(a)) – calculation with actual values required.","")</f>
        <v/>
      </c>
    </row>
    <row r="71" customFormat="false" ht="15" hidden="false" customHeight="false" outlineLevel="0" collapsed="false">
      <c r="C71" s="75" t="str">
        <f aca="false">IF(AND(NOT(C40),C32=Limits!C34),"At exactly 10 MW, points (e)/(f) and (g)/(h) overlap in the text of the Directive; the tool conservatively applies point (e) or (g).","")</f>
        <v/>
      </c>
    </row>
    <row r="72" customFormat="false" ht="15" hidden="false" customHeight="false" outlineLevel="0" collapsed="false">
      <c r="C72" s="75" t="str">
        <f aca="false">IF(AND(NOT(C40),C32=0,C31&lt;&gt;""),"Total rated thermal input missing: until entered, the tool applies the rules for ≤ 10 MW (points (f)/(h)).","")</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pageSetUpPr fitToPage="false"/>
  </sheetPr>
  <dimension ref="B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H18" activeCellId="0" sqref="H18"/>
    </sheetView>
  </sheetViews>
  <sheetFormatPr defaultColWidth="11.43359375" defaultRowHeight="15" zeroHeight="false" outlineLevelRow="0" outlineLevelCol="0"/>
  <cols>
    <col collapsed="false" customWidth="true" hidden="false" outlineLevel="0" max="1" min="1" style="10" width="8.71"/>
    <col collapsed="false" customWidth="true" hidden="false" outlineLevel="0" max="2" min="2" style="10" width="12.29"/>
    <col collapsed="false" customWidth="false" hidden="false" outlineLevel="0" max="6" min="3" style="76" width="11.43"/>
    <col collapsed="false" customWidth="false" hidden="false" outlineLevel="0" max="7" min="7" style="10" width="11.43"/>
    <col collapsed="false" customWidth="true" hidden="false" outlineLevel="0" max="8" min="8" style="10" width="17.86"/>
    <col collapsed="false" customWidth="false" hidden="false" outlineLevel="0" max="9" min="9" style="10" width="11.43"/>
    <col collapsed="false" customWidth="false" hidden="false" outlineLevel="0" max="12" min="10" style="76" width="11.43"/>
    <col collapsed="false" customWidth="false" hidden="false" outlineLevel="0" max="16384" min="13" style="10" width="11.43"/>
  </cols>
  <sheetData>
    <row r="1" customFormat="false" ht="30" hidden="false" customHeight="true" outlineLevel="0" collapsed="false"/>
    <row r="2" customFormat="false" ht="31.5" hidden="false" customHeight="true" outlineLevel="0" collapsed="false">
      <c r="B2" s="3" t="s">
        <v>244</v>
      </c>
      <c r="C2" s="77"/>
      <c r="D2" s="77"/>
      <c r="E2" s="77"/>
      <c r="F2" s="77"/>
      <c r="G2" s="78"/>
    </row>
    <row r="3" customFormat="false" ht="13.5" hidden="false" customHeight="true" outlineLevel="0" collapsed="false">
      <c r="B3" s="79"/>
    </row>
    <row r="5" customFormat="false" ht="15.75" hidden="false" customHeight="true" outlineLevel="0" collapsed="false">
      <c r="B5" s="10" t="s">
        <v>245</v>
      </c>
      <c r="C5" s="10" t="s">
        <v>246</v>
      </c>
    </row>
    <row r="6" customFormat="false" ht="15.75" hidden="false" customHeight="true" outlineLevel="0" collapsed="false">
      <c r="B6" s="80"/>
      <c r="C6" s="81" t="n">
        <v>49</v>
      </c>
      <c r="D6" s="81" t="n">
        <v>53</v>
      </c>
      <c r="E6" s="82" t="n">
        <v>46</v>
      </c>
    </row>
    <row r="8" customFormat="false" ht="15.75" hidden="false" customHeight="true" outlineLevel="0" collapsed="false">
      <c r="B8" s="10" t="s">
        <v>247</v>
      </c>
    </row>
    <row r="9" customFormat="false" ht="15" hidden="false" customHeight="false" outlineLevel="0" collapsed="false">
      <c r="B9" s="83"/>
      <c r="C9" s="84" t="n">
        <v>243</v>
      </c>
      <c r="D9" s="84" t="n">
        <v>246</v>
      </c>
      <c r="E9" s="85" t="n">
        <v>232</v>
      </c>
    </row>
    <row r="10" customFormat="false" ht="15" hidden="false" customHeight="false" outlineLevel="0" collapsed="false">
      <c r="B10" s="86"/>
      <c r="C10" s="76" t="n">
        <v>207</v>
      </c>
      <c r="D10" s="76" t="n">
        <v>224</v>
      </c>
      <c r="E10" s="87" t="n">
        <v>145</v>
      </c>
    </row>
    <row r="11" customFormat="false" ht="15" hidden="false" customHeight="false" outlineLevel="0" collapsed="false">
      <c r="B11" s="88"/>
      <c r="C11" s="76" t="n">
        <v>119</v>
      </c>
      <c r="D11" s="76" t="n">
        <v>138</v>
      </c>
      <c r="E11" s="87" t="n">
        <v>53</v>
      </c>
      <c r="H11" s="10" t="s">
        <v>248</v>
      </c>
    </row>
    <row r="12" customFormat="false" ht="15" hidden="false" customHeight="false" outlineLevel="0" collapsed="false">
      <c r="B12" s="89"/>
      <c r="C12" s="76" t="n">
        <v>84</v>
      </c>
      <c r="D12" s="76" t="n">
        <v>103</v>
      </c>
      <c r="E12" s="87" t="n">
        <v>19</v>
      </c>
    </row>
    <row r="13" customFormat="false" ht="15.75" hidden="false" customHeight="true" outlineLevel="0" collapsed="false">
      <c r="B13" s="90"/>
      <c r="C13" s="91" t="n">
        <v>24</v>
      </c>
      <c r="D13" s="91" t="n">
        <v>28</v>
      </c>
      <c r="E13" s="92" t="n">
        <v>11</v>
      </c>
    </row>
    <row r="15" customFormat="false" ht="15.75" hidden="false" customHeight="true" outlineLevel="0" collapsed="false">
      <c r="B15" s="10" t="s">
        <v>249</v>
      </c>
    </row>
    <row r="16" customFormat="false" ht="15" hidden="false" customHeight="false" outlineLevel="0" collapsed="false">
      <c r="B16" s="93"/>
      <c r="C16" s="84" t="n">
        <v>227</v>
      </c>
      <c r="D16" s="84" t="n">
        <v>244</v>
      </c>
      <c r="E16" s="85" t="n">
        <v>244</v>
      </c>
    </row>
    <row r="17" customFormat="false" ht="15" hidden="false" customHeight="false" outlineLevel="0" collapsed="false">
      <c r="B17" s="94"/>
      <c r="C17" s="76" t="n">
        <v>92</v>
      </c>
      <c r="D17" s="76" t="n">
        <v>143</v>
      </c>
      <c r="E17" s="87" t="n">
        <v>141</v>
      </c>
    </row>
    <row r="18" customFormat="false" ht="15" hidden="false" customHeight="false" outlineLevel="0" collapsed="false">
      <c r="B18" s="95"/>
      <c r="C18" s="76" t="n">
        <v>34</v>
      </c>
      <c r="D18" s="76" t="n">
        <v>88</v>
      </c>
      <c r="E18" s="87" t="n">
        <v>86</v>
      </c>
    </row>
    <row r="19" customFormat="false" ht="15" hidden="false" customHeight="false" outlineLevel="0" collapsed="false">
      <c r="B19" s="96"/>
      <c r="C19" s="76" t="n">
        <v>12</v>
      </c>
      <c r="D19" s="76" t="n">
        <v>65</v>
      </c>
      <c r="E19" s="87" t="n">
        <v>63</v>
      </c>
    </row>
    <row r="20" customFormat="false" ht="15.75" hidden="false" customHeight="true" outlineLevel="0" collapsed="false">
      <c r="B20" s="97"/>
      <c r="C20" s="91" t="n">
        <v>0</v>
      </c>
      <c r="D20" s="91" t="n">
        <v>13</v>
      </c>
      <c r="E20" s="92" t="n">
        <v>12</v>
      </c>
    </row>
    <row r="21" customFormat="false" ht="15.75" hidden="false" customHeight="true" outlineLevel="0" collapsed="false"/>
    <row r="22" customFormat="false" ht="15" hidden="false" customHeight="false" outlineLevel="0" collapsed="false">
      <c r="B22" s="98"/>
      <c r="C22" s="84" t="n">
        <v>246</v>
      </c>
      <c r="D22" s="84" t="n">
        <v>239</v>
      </c>
      <c r="E22" s="85" t="n">
        <v>232</v>
      </c>
    </row>
    <row r="23" customFormat="false" ht="15" hidden="false" customHeight="false" outlineLevel="0" collapsed="false">
      <c r="B23" s="99"/>
      <c r="C23" s="76" t="n">
        <v>235</v>
      </c>
      <c r="D23" s="76" t="n">
        <v>189</v>
      </c>
      <c r="E23" s="87" t="n">
        <v>152</v>
      </c>
    </row>
    <row r="24" customFormat="false" ht="15" hidden="false" customHeight="false" outlineLevel="0" collapsed="false">
      <c r="B24" s="100"/>
      <c r="C24" s="76" t="n">
        <v>144</v>
      </c>
      <c r="D24" s="76" t="n">
        <v>95</v>
      </c>
      <c r="E24" s="87" t="n">
        <v>55</v>
      </c>
    </row>
    <row r="25" customFormat="false" ht="15" hidden="false" customHeight="false" outlineLevel="0" collapsed="false">
      <c r="B25" s="101"/>
      <c r="C25" s="76" t="n">
        <v>108</v>
      </c>
      <c r="D25" s="76" t="n">
        <v>59</v>
      </c>
      <c r="E25" s="87" t="n">
        <v>19</v>
      </c>
    </row>
    <row r="26" customFormat="false" ht="15.75" hidden="false" customHeight="true" outlineLevel="0" collapsed="false">
      <c r="B26" s="102"/>
      <c r="C26" s="91" t="n">
        <v>21</v>
      </c>
      <c r="D26" s="91" t="n">
        <v>9</v>
      </c>
      <c r="E26" s="92" t="n">
        <v>0</v>
      </c>
    </row>
    <row r="27" customFormat="false" ht="15.75" hidden="false" customHeight="true" outlineLevel="0" collapsed="false"/>
    <row r="28" customFormat="false" ht="15" hidden="false" customHeight="false" outlineLevel="0" collapsed="false">
      <c r="B28" s="103"/>
      <c r="C28" s="84" t="n">
        <v>245</v>
      </c>
      <c r="D28" s="84" t="n">
        <v>229</v>
      </c>
      <c r="E28" s="85" t="n">
        <v>242</v>
      </c>
    </row>
    <row r="29" customFormat="false" ht="15" hidden="false" customHeight="false" outlineLevel="0" collapsed="false">
      <c r="B29" s="104"/>
      <c r="C29" s="76" t="n">
        <v>168</v>
      </c>
      <c r="D29" s="76" t="n">
        <v>109</v>
      </c>
      <c r="E29" s="87" t="n">
        <v>157</v>
      </c>
    </row>
    <row r="30" customFormat="false" ht="15" hidden="false" customHeight="false" outlineLevel="0" collapsed="false">
      <c r="B30" s="105"/>
      <c r="C30" s="76" t="n">
        <v>104</v>
      </c>
      <c r="D30" s="76" t="n">
        <v>40</v>
      </c>
      <c r="E30" s="87" t="n">
        <v>91</v>
      </c>
    </row>
    <row r="31" customFormat="false" ht="15" hidden="false" customHeight="false" outlineLevel="0" collapsed="false">
      <c r="B31" s="106"/>
      <c r="C31" s="76" t="n">
        <v>77</v>
      </c>
      <c r="D31" s="76" t="n">
        <v>14</v>
      </c>
      <c r="E31" s="87" t="n">
        <v>65</v>
      </c>
    </row>
    <row r="32" customFormat="false" ht="15.75" hidden="false" customHeight="true" outlineLevel="0" collapsed="false">
      <c r="B32" s="107"/>
      <c r="C32" s="91" t="n">
        <v>15</v>
      </c>
      <c r="D32" s="91" t="n">
        <v>0</v>
      </c>
      <c r="E32" s="92" t="n">
        <v>12</v>
      </c>
    </row>
    <row r="33" customFormat="false" ht="15.75" hidden="false" customHeight="true" outlineLevel="0" collapsed="false"/>
    <row r="34" customFormat="false" ht="15" hidden="false" customHeight="false" outlineLevel="0" collapsed="false">
      <c r="B34" s="108"/>
      <c r="C34" s="84" t="n">
        <v>251</v>
      </c>
      <c r="D34" s="84" t="n">
        <v>249</v>
      </c>
      <c r="E34" s="85" t="n">
        <v>237</v>
      </c>
    </row>
    <row r="35" customFormat="false" ht="15" hidden="false" customHeight="false" outlineLevel="0" collapsed="false">
      <c r="B35" s="109"/>
      <c r="C35" s="76" t="n">
        <v>255</v>
      </c>
      <c r="D35" s="76" t="n">
        <v>238</v>
      </c>
      <c r="E35" s="87" t="n">
        <v>152</v>
      </c>
    </row>
    <row r="36" customFormat="false" ht="15" hidden="false" customHeight="false" outlineLevel="0" collapsed="false">
      <c r="B36" s="110"/>
      <c r="C36" s="76" t="n">
        <v>217</v>
      </c>
      <c r="D36" s="76" t="n">
        <v>193</v>
      </c>
      <c r="E36" s="87" t="n">
        <v>72</v>
      </c>
    </row>
    <row r="37" customFormat="false" ht="15" hidden="false" customHeight="false" outlineLevel="0" collapsed="false">
      <c r="B37" s="111"/>
      <c r="C37" s="76" t="n">
        <v>184</v>
      </c>
      <c r="D37" s="76" t="n">
        <v>158</v>
      </c>
      <c r="E37" s="87" t="n">
        <v>29</v>
      </c>
    </row>
    <row r="38" customFormat="false" ht="15.75" hidden="false" customHeight="true" outlineLevel="0" collapsed="false">
      <c r="B38" s="112"/>
      <c r="C38" s="91" t="n">
        <v>46</v>
      </c>
      <c r="D38" s="91" t="n">
        <v>38</v>
      </c>
      <c r="E38" s="92" t="n">
        <v>0</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4:H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4" customFormat="false" ht="15" hidden="false" customHeight="false" outlineLevel="0" collapsed="false">
      <c r="B4" s="113" t="s">
        <v>250</v>
      </c>
      <c r="D4" s="113" t="s">
        <v>162</v>
      </c>
      <c r="F4" s="113" t="s">
        <v>36</v>
      </c>
      <c r="H4" s="113" t="s">
        <v>40</v>
      </c>
    </row>
    <row r="5" customFormat="false" ht="15" hidden="false" customHeight="false" outlineLevel="0" collapsed="false">
      <c r="B5" s="113" t="s">
        <v>35</v>
      </c>
      <c r="D5" s="113" t="s">
        <v>170</v>
      </c>
      <c r="F5" s="113" t="s">
        <v>37</v>
      </c>
      <c r="H5" s="113" t="s">
        <v>64</v>
      </c>
    </row>
    <row r="6" customFormat="false" ht="15" hidden="false" customHeight="false" outlineLevel="0" collapsed="false">
      <c r="B6" s="113" t="s">
        <v>48</v>
      </c>
      <c r="D6" s="113" t="s">
        <v>32</v>
      </c>
      <c r="F6" s="113" t="s">
        <v>251</v>
      </c>
      <c r="H6" s="113" t="s">
        <v>252</v>
      </c>
    </row>
    <row r="7" customFormat="false" ht="15" hidden="false" customHeight="false" outlineLevel="0" collapsed="false">
      <c r="H7" s="113" t="s">
        <v>253</v>
      </c>
    </row>
    <row r="8" customFormat="false" ht="15" hidden="false" customHeight="false" outlineLevel="0" collapsed="false">
      <c r="H8" s="113"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2023-10-04T13:00:16Z</dcterms:created>
  <dc:creator>Micha Gruber</dc:creator>
  <dc:description/>
  <dc:language>en-US</dc:language>
  <cp:lastModifiedBy>Micha Gruber</cp:lastModifiedBy>
  <dcterms:modified xsi:type="dcterms:W3CDTF">2026-10-08T17:12:44Z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